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76" windowWidth="14676" windowHeight="7416" activeTab="1"/>
  </bookViews>
  <sheets>
    <sheet name="2021 школы" sheetId="1" r:id="rId1"/>
    <sheet name=" 2021  сады" sheetId="2" r:id="rId2"/>
    <sheet name="2021 ДО " sheetId="3" r:id="rId3"/>
  </sheets>
  <definedNames>
    <definedName name="_xlnm.Print_Titles" localSheetId="0">'2021 школы'!$C:$C</definedName>
    <definedName name="_xlnm.Print_Area" localSheetId="1">' 2021  сады'!$A$1:$M$36</definedName>
    <definedName name="_xlnm.Print_Area" localSheetId="2">'2021 ДО '!$A$1:$R$9</definedName>
    <definedName name="_xlnm.Print_Area" localSheetId="0">'2021 школы'!$A$1:$AP$25</definedName>
  </definedNames>
  <calcPr fullCalcOnLoad="1" refMode="R1C1"/>
</workbook>
</file>

<file path=xl/sharedStrings.xml><?xml version="1.0" encoding="utf-8"?>
<sst xmlns="http://schemas.openxmlformats.org/spreadsheetml/2006/main" count="148" uniqueCount="95">
  <si>
    <t>№п/п</t>
  </si>
  <si>
    <t xml:space="preserve">Учреждение    </t>
  </si>
  <si>
    <t>Процент выполнения, %</t>
  </si>
  <si>
    <t xml:space="preserve">МБДОУ  д/с  " Ромашка" </t>
  </si>
  <si>
    <t xml:space="preserve">МБДОУ д/с " Гнездышко" </t>
  </si>
  <si>
    <t xml:space="preserve">МБДОУ  д/с  "Елочка" </t>
  </si>
  <si>
    <t xml:space="preserve">МБДОУ  д/с  " Одуванчик" </t>
  </si>
  <si>
    <t xml:space="preserve">МБДОУ д/с   "Ручеек" </t>
  </si>
  <si>
    <t xml:space="preserve">МБДОУ д/с  " Кораблик" </t>
  </si>
  <si>
    <t>МБДОУ д/с  "Ягодка"</t>
  </si>
  <si>
    <t>МБДОУ д/с   "Ивушка"</t>
  </si>
  <si>
    <t>МБДОУ д/с  "Золотая рыбка"</t>
  </si>
  <si>
    <t>МБДОУ д/с  "Колобок"</t>
  </si>
  <si>
    <t>МБДОУ д/с  "Вишенка"</t>
  </si>
  <si>
    <t>МБДОУ д/с  "Улыбка"</t>
  </si>
  <si>
    <t>МБДОУ д/с  "Ласточка"</t>
  </si>
  <si>
    <t>МБДОУ д/с  "Ветерок"</t>
  </si>
  <si>
    <t>МБДОУ д/с  "Аленушка"</t>
  </si>
  <si>
    <t>МБДОУ д/с  "Красная шапочка"</t>
  </si>
  <si>
    <t>МБДОУ д/с  "Алые паруса"</t>
  </si>
  <si>
    <t>МБДОУ д/с "Теремок"</t>
  </si>
  <si>
    <t>МБДОУ д/с "Светлячок"</t>
  </si>
  <si>
    <t>МБДОУ д/с "Радость"</t>
  </si>
  <si>
    <t>МБДОУ д/с "Росинка"</t>
  </si>
  <si>
    <t>МБДОУ д/с "Казачок"</t>
  </si>
  <si>
    <t>МБДОУ д/с "Колосок"</t>
  </si>
  <si>
    <t>Итого</t>
  </si>
  <si>
    <t>Заведующий отделом образования</t>
  </si>
  <si>
    <t>Администрации Цимлянского района</t>
  </si>
  <si>
    <t>Антипов И.В</t>
  </si>
  <si>
    <t>Директор МАУ РЦО Цимлянского района</t>
  </si>
  <si>
    <t>Гуляева О.В</t>
  </si>
  <si>
    <t>Реализация основных общеобразовательных программ дошкольного образования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</si>
  <si>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</si>
  <si>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отклонение</t>
  </si>
  <si>
    <t>фактический объем предоставленных услуг за 12 мес (среднегодовая)</t>
  </si>
  <si>
    <t>Присмотр и уход</t>
  </si>
  <si>
    <t xml:space="preserve"> гр. до 3 лет</t>
  </si>
  <si>
    <t>Приложение № 1-3</t>
  </si>
  <si>
    <t>МБУ ДО ЦВР</t>
  </si>
  <si>
    <t>МБУ ДО ДЮСШ</t>
  </si>
  <si>
    <t>Реализация дополнительных общеобразовательных программ</t>
  </si>
  <si>
    <t>объем муниципального задания</t>
  </si>
  <si>
    <t>фактический объем предоставленных услуг (работ) за 12 мес (среднегодовая)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</si>
  <si>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(работа, ед)</t>
  </si>
  <si>
    <t>Проведение тестирования выполнения нормативов испытаний (тестов) комплекса ГТО (работа), чел</t>
  </si>
  <si>
    <t xml:space="preserve">Процент выполнения, % , </t>
  </si>
  <si>
    <r>
      <rPr>
        <sz val="10"/>
        <rFont val="Times New Roman"/>
        <family val="1"/>
      </rPr>
      <t>Допустимые (возможные) отклонения</t>
    </r>
    <r>
      <rPr>
        <sz val="8"/>
        <rFont val="Times New Roman"/>
        <family val="1"/>
      </rPr>
      <t xml:space="preserve"> от установленных показателей качества муниципальной услуги, в пределах которых муниципальное задание считается выполненным, (процентов/чел)</t>
    </r>
  </si>
  <si>
    <t>отклонение, %</t>
  </si>
  <si>
    <t>МБДОУ д/с "Сказка"</t>
  </si>
  <si>
    <t>компенсирующ. гр</t>
  </si>
  <si>
    <t>МБДОУ д/с "Журавлик"</t>
  </si>
  <si>
    <t>Реализация дополнительных общеобразовательных программ, чел/час</t>
  </si>
  <si>
    <t>отклоненние (Допустимые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(10 %)</t>
  </si>
  <si>
    <t>всего</t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</si>
  <si>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начального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</si>
  <si>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основного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</si>
  <si>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2"/>
        <rFont val="Times New Roman"/>
        <family val="1"/>
      </rPr>
      <t>среднего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</si>
  <si>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</t>
    </r>
    <r>
      <rPr>
        <b/>
        <sz val="10"/>
        <rFont val="Times New Roman"/>
        <family val="1"/>
      </rPr>
      <t>адаптированных</t>
    </r>
    <r>
      <rPr>
        <sz val="10"/>
        <rFont val="Times New Roman"/>
        <family val="1"/>
      </rPr>
      <t xml:space="preserve"> основных общеобразовательных программ</t>
    </r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</si>
  <si>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начального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</si>
  <si>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основного</t>
    </r>
    <r>
      <rPr>
        <sz val="10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</si>
  <si>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0"/>
        <color indexed="10"/>
        <rFont val="Times New Roman"/>
        <family val="1"/>
      </rPr>
      <t>среднего</t>
    </r>
    <r>
      <rPr>
        <sz val="10"/>
        <rFont val="Times New Roman"/>
        <family val="1"/>
      </rPr>
      <t xml:space="preserve"> общего образования</t>
    </r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</si>
  <si>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</si>
  <si>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</si>
  <si>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</si>
  <si>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индив. Обучен</t>
  </si>
  <si>
    <t>МБОУ Саркеловская СОШ</t>
  </si>
  <si>
    <t>МБОУ Красноярская СОШ</t>
  </si>
  <si>
    <t>МБОУ Новоцимлянская СОШ</t>
  </si>
  <si>
    <t>МБОУ Лозновская СОШ</t>
  </si>
  <si>
    <t>МБОУ ВСОШ</t>
  </si>
  <si>
    <t>МБОУ Лозновская ООШ</t>
  </si>
  <si>
    <t>МБОУ Антоновская ООШ</t>
  </si>
  <si>
    <t>МБОУ Дубравненская ООШ</t>
  </si>
  <si>
    <t>МБОУ Хорошевская ООШ</t>
  </si>
  <si>
    <t>МБОУ Паршиковская СОШ</t>
  </si>
  <si>
    <t>МБОУ Калининская СОШ</t>
  </si>
  <si>
    <t>МБОУ Маркинская СОШ</t>
  </si>
  <si>
    <t>МБОУ Камышевская СКОШ</t>
  </si>
  <si>
    <t>Реализация дополнительных предпрофессиональных программ в области физической культуры и спорта, чел/час</t>
  </si>
  <si>
    <r>
      <t xml:space="preserve">Информация о соответствии объема предоставленных муниципальными бюджетными общеобразовательными учреждениями муниципальных услуг параметрам муниципального задания за  период </t>
    </r>
    <r>
      <rPr>
        <b/>
        <sz val="12"/>
        <color indexed="12"/>
        <rFont val="Times New Roman"/>
        <family val="1"/>
      </rPr>
      <t xml:space="preserve">январь-декабрь  </t>
    </r>
    <r>
      <rPr>
        <sz val="12"/>
        <rFont val="Times New Roman"/>
        <family val="1"/>
      </rPr>
      <t>2021г</t>
    </r>
  </si>
  <si>
    <t>объем муниципального задания по состоянию на 01.12.2021, чел</t>
  </si>
  <si>
    <r>
      <rPr>
        <b/>
        <sz val="9"/>
        <color indexed="10"/>
        <rFont val="Times New Roman"/>
        <family val="1"/>
      </rPr>
      <t>начального</t>
    </r>
    <r>
      <rPr>
        <sz val="9"/>
        <rFont val="Times New Roman"/>
        <family val="1"/>
      </rPr>
      <t xml:space="preserve"> общего образования</t>
    </r>
  </si>
  <si>
    <r>
      <t xml:space="preserve"> </t>
    </r>
    <r>
      <rPr>
        <b/>
        <sz val="9"/>
        <color indexed="10"/>
        <rFont val="Times New Roman"/>
        <family val="1"/>
      </rPr>
      <t>основного</t>
    </r>
    <r>
      <rPr>
        <sz val="9"/>
        <rFont val="Times New Roman"/>
        <family val="1"/>
      </rPr>
      <t xml:space="preserve"> общего образования</t>
    </r>
  </si>
  <si>
    <r>
      <rPr>
        <b/>
        <sz val="9"/>
        <color indexed="10"/>
        <rFont val="Times New Roman"/>
        <family val="1"/>
      </rPr>
      <t>среднего</t>
    </r>
    <r>
      <rPr>
        <sz val="9"/>
        <rFont val="Times New Roman"/>
        <family val="1"/>
      </rPr>
      <t xml:space="preserve"> общего образования</t>
    </r>
  </si>
  <si>
    <r>
      <rPr>
        <b/>
        <sz val="9"/>
        <color indexed="10"/>
        <rFont val="Times New Roman"/>
        <family val="1"/>
      </rPr>
      <t>основного</t>
    </r>
    <r>
      <rPr>
        <sz val="9"/>
        <rFont val="Times New Roman"/>
        <family val="1"/>
      </rPr>
      <t xml:space="preserve"> общего образования</t>
    </r>
  </si>
  <si>
    <t xml:space="preserve">МБОУ лицей №1 г Цимлянска </t>
  </si>
  <si>
    <t xml:space="preserve">МБОУ СОШ №2 г Цимлянска </t>
  </si>
  <si>
    <t xml:space="preserve">МБОУ СОШ №3 г .Цимлянска </t>
  </si>
  <si>
    <r>
      <t xml:space="preserve">Информация о соответствии объема предоставленных муниципальными бюджетными дошкольными учреждениями муниципальных услуг параметрам муниципального задания </t>
    </r>
    <r>
      <rPr>
        <b/>
        <sz val="12"/>
        <color indexed="14"/>
        <rFont val="Times New Roman"/>
        <family val="1"/>
      </rPr>
      <t xml:space="preserve">за  январь-декабрь 2021 г </t>
    </r>
    <r>
      <rPr>
        <sz val="12"/>
        <rFont val="Times New Roman"/>
        <family val="1"/>
      </rPr>
      <t>(среднегодовое значение за период январь-декабрь 2021 г)</t>
    </r>
  </si>
  <si>
    <r>
      <t>объем муниципального задания по состоянию на</t>
    </r>
    <r>
      <rPr>
        <b/>
        <sz val="10"/>
        <color indexed="12"/>
        <rFont val="Times New Roman"/>
        <family val="1"/>
      </rPr>
      <t xml:space="preserve"> 01.04.2021</t>
    </r>
    <r>
      <rPr>
        <sz val="10"/>
        <rFont val="Times New Roman"/>
        <family val="1"/>
      </rPr>
      <t xml:space="preserve">, чел </t>
    </r>
  </si>
  <si>
    <t>фактический объем предоставленных услуг за 2021 год (среднегодовая)</t>
  </si>
  <si>
    <t>Заведующий отделом образования Администрации Цимлянского района</t>
  </si>
  <si>
    <t>ясли</t>
  </si>
  <si>
    <r>
      <t xml:space="preserve">Информация о соответствии объема предоставленных муниципальными бюджетными  учреждениями дополнительного образования муниципальных услуг (работ)  параметрам муниципального задания </t>
    </r>
    <r>
      <rPr>
        <b/>
        <sz val="12"/>
        <color indexed="14"/>
        <rFont val="Times New Roman"/>
        <family val="1"/>
      </rPr>
      <t xml:space="preserve">за  январь-декабрь 2021 г </t>
    </r>
    <r>
      <rPr>
        <sz val="12"/>
        <rFont val="Times New Roman"/>
        <family val="1"/>
      </rPr>
      <t>(среднегодовое значение за период январь-декабрь 2021)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</si>
</sst>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4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50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" fontId="3" fillId="5" borderId="10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/>
    </xf>
    <xf numFmtId="164" fontId="2" fillId="5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/>
    </xf>
    <xf numFmtId="0" fontId="3" fillId="31" borderId="10" xfId="0" applyFont="1" applyFill="1" applyBorder="1" applyAlignment="1">
      <alignment/>
    </xf>
    <xf numFmtId="0" fontId="3" fillId="31" borderId="0" xfId="0" applyFont="1" applyFill="1" applyAlignment="1">
      <alignment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1" fontId="3" fillId="6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 wrapText="1"/>
    </xf>
    <xf numFmtId="1" fontId="3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34" fillId="0" borderId="16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34" fillId="0" borderId="1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4" fontId="34" fillId="0" borderId="10" xfId="0" applyNumberFormat="1" applyFont="1" applyFill="1" applyBorder="1" applyAlignment="1">
      <alignment horizontal="right"/>
    </xf>
    <xf numFmtId="1" fontId="33" fillId="0" borderId="10" xfId="0" applyNumberFormat="1" applyFont="1" applyFill="1" applyBorder="1" applyAlignment="1">
      <alignment horizontal="center" vertical="center"/>
    </xf>
    <xf numFmtId="164" fontId="34" fillId="0" borderId="19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3" fillId="13" borderId="10" xfId="0" applyFont="1" applyFill="1" applyBorder="1" applyAlignment="1">
      <alignment/>
    </xf>
    <xf numFmtId="1" fontId="3" fillId="13" borderId="10" xfId="0" applyNumberFormat="1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/>
    </xf>
    <xf numFmtId="164" fontId="3" fillId="13" borderId="10" xfId="0" applyNumberFormat="1" applyFont="1" applyFill="1" applyBorder="1" applyAlignment="1">
      <alignment horizontal="center"/>
    </xf>
    <xf numFmtId="164" fontId="3" fillId="13" borderId="10" xfId="0" applyNumberFormat="1" applyFont="1" applyFill="1" applyBorder="1" applyAlignment="1">
      <alignment horizontal="right"/>
    </xf>
    <xf numFmtId="164" fontId="3" fillId="13" borderId="10" xfId="0" applyNumberFormat="1" applyFont="1" applyFill="1" applyBorder="1" applyAlignment="1">
      <alignment/>
    </xf>
    <xf numFmtId="164" fontId="3" fillId="13" borderId="16" xfId="0" applyNumberFormat="1" applyFont="1" applyFill="1" applyBorder="1" applyAlignment="1">
      <alignment/>
    </xf>
    <xf numFmtId="164" fontId="3" fillId="13" borderId="20" xfId="0" applyNumberFormat="1" applyFont="1" applyFill="1" applyBorder="1" applyAlignment="1">
      <alignment/>
    </xf>
    <xf numFmtId="164" fontId="3" fillId="13" borderId="21" xfId="0" applyNumberFormat="1" applyFont="1" applyFill="1" applyBorder="1" applyAlignment="1">
      <alignment/>
    </xf>
    <xf numFmtId="164" fontId="3" fillId="13" borderId="22" xfId="0" applyNumberFormat="1" applyFont="1" applyFill="1" applyBorder="1" applyAlignment="1">
      <alignment/>
    </xf>
    <xf numFmtId="164" fontId="3" fillId="13" borderId="23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31" borderId="10" xfId="0" applyNumberFormat="1" applyFont="1" applyFill="1" applyBorder="1" applyAlignment="1">
      <alignment horizontal="center" vertical="top" wrapText="1"/>
    </xf>
    <xf numFmtId="1" fontId="2" fillId="31" borderId="10" xfId="0" applyNumberFormat="1" applyFont="1" applyFill="1" applyBorder="1" applyAlignment="1">
      <alignment horizontal="center" vertical="center"/>
    </xf>
    <xf numFmtId="1" fontId="2" fillId="31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/>
    </xf>
    <xf numFmtId="1" fontId="3" fillId="31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top" wrapText="1"/>
    </xf>
    <xf numFmtId="1" fontId="2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right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2" xfId="0" applyFont="1" applyFill="1" applyBorder="1" applyAlignment="1">
      <alignment horizontal="right" vertical="justify" shrinkToFit="1"/>
    </xf>
    <xf numFmtId="0" fontId="2" fillId="33" borderId="11" xfId="0" applyFont="1" applyFill="1" applyBorder="1" applyAlignment="1">
      <alignment horizontal="right" vertical="justify" shrinkToFi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P32"/>
  <sheetViews>
    <sheetView view="pageBreakPreview" zoomScale="90" zoomScaleSheetLayoutView="90" zoomScalePageLayoutView="0" workbookViewId="0" topLeftCell="AD7">
      <selection activeCell="AG22" sqref="AG22"/>
    </sheetView>
  </sheetViews>
  <sheetFormatPr defaultColWidth="9.00390625" defaultRowHeight="12.75"/>
  <cols>
    <col min="1" max="1" width="1.625" style="1" customWidth="1"/>
    <col min="2" max="2" width="3.50390625" style="1" customWidth="1"/>
    <col min="3" max="3" width="30.375" style="1" customWidth="1"/>
    <col min="4" max="4" width="9.625" style="1" customWidth="1"/>
    <col min="5" max="5" width="10.375" style="1" customWidth="1"/>
    <col min="6" max="6" width="9.125" style="1" customWidth="1"/>
    <col min="7" max="7" width="9.625" style="1" customWidth="1"/>
    <col min="8" max="8" width="9.00390625" style="1" customWidth="1"/>
    <col min="9" max="9" width="9.875" style="1" customWidth="1"/>
    <col min="10" max="10" width="8.375" style="1" customWidth="1"/>
    <col min="11" max="11" width="10.125" style="1" customWidth="1"/>
    <col min="12" max="12" width="10.625" style="1" customWidth="1"/>
    <col min="13" max="13" width="9.625" style="1" customWidth="1"/>
    <col min="14" max="14" width="12.50390625" style="1" customWidth="1"/>
    <col min="15" max="15" width="9.50390625" style="1" customWidth="1"/>
    <col min="16" max="16" width="9.875" style="1" customWidth="1"/>
    <col min="17" max="17" width="9.00390625" style="1" customWidth="1"/>
    <col min="18" max="18" width="9.875" style="1" customWidth="1"/>
    <col min="19" max="19" width="8.50390625" style="1" customWidth="1"/>
    <col min="20" max="20" width="8.875" style="1" customWidth="1"/>
    <col min="21" max="21" width="11.125" style="1" customWidth="1"/>
    <col min="22" max="22" width="8.875" style="1" customWidth="1"/>
    <col min="23" max="23" width="10.50390625" style="1" customWidth="1"/>
    <col min="24" max="24" width="11.125" style="1" customWidth="1"/>
    <col min="25" max="26" width="10.125" style="1" customWidth="1"/>
    <col min="27" max="28" width="12.625" style="1" customWidth="1"/>
    <col min="29" max="33" width="12.125" style="1" customWidth="1"/>
    <col min="34" max="37" width="11.875" style="1" customWidth="1"/>
    <col min="38" max="39" width="12.375" style="1" customWidth="1"/>
    <col min="40" max="16384" width="8.875" style="1" customWidth="1"/>
  </cols>
  <sheetData>
    <row r="1" ht="8.25" customHeight="1"/>
    <row r="2" spans="3:39" ht="45" customHeight="1">
      <c r="C2" s="56"/>
      <c r="D2" s="122" t="s">
        <v>80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57"/>
      <c r="V2" s="57"/>
      <c r="W2" s="57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3"/>
      <c r="AI2" s="3"/>
      <c r="AJ2" s="3"/>
      <c r="AK2" s="3"/>
      <c r="AL2" s="3"/>
      <c r="AM2" s="3"/>
    </row>
    <row r="3" spans="2:39" ht="18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</row>
    <row r="4" spans="2:42" ht="133.5" customHeight="1">
      <c r="B4" s="123" t="s">
        <v>0</v>
      </c>
      <c r="C4" s="124" t="s">
        <v>1</v>
      </c>
      <c r="D4" s="125" t="s">
        <v>81</v>
      </c>
      <c r="E4" s="126"/>
      <c r="F4" s="126"/>
      <c r="G4" s="126"/>
      <c r="H4" s="126"/>
      <c r="I4" s="126"/>
      <c r="J4" s="126"/>
      <c r="K4" s="59"/>
      <c r="L4" s="59"/>
      <c r="M4" s="59"/>
      <c r="N4" s="127" t="s">
        <v>35</v>
      </c>
      <c r="O4" s="128"/>
      <c r="P4" s="128"/>
      <c r="Q4" s="128"/>
      <c r="R4" s="128"/>
      <c r="S4" s="128"/>
      <c r="T4" s="128"/>
      <c r="U4" s="128"/>
      <c r="V4" s="128"/>
      <c r="W4" s="129"/>
      <c r="X4" s="130" t="s">
        <v>2</v>
      </c>
      <c r="Y4" s="130"/>
      <c r="Z4" s="130"/>
      <c r="AA4" s="130"/>
      <c r="AB4" s="130"/>
      <c r="AC4" s="130"/>
      <c r="AD4" s="130"/>
      <c r="AE4" s="130"/>
      <c r="AF4" s="130"/>
      <c r="AG4" s="131"/>
      <c r="AH4" s="136" t="s">
        <v>53</v>
      </c>
      <c r="AI4" s="137"/>
      <c r="AJ4" s="137"/>
      <c r="AK4" s="137"/>
      <c r="AL4" s="137"/>
      <c r="AM4" s="137"/>
      <c r="AN4" s="137"/>
      <c r="AO4" s="137"/>
      <c r="AP4" s="138"/>
    </row>
    <row r="5" spans="2:42" ht="56.25" customHeight="1">
      <c r="B5" s="123"/>
      <c r="C5" s="124"/>
      <c r="D5" s="139" t="s">
        <v>54</v>
      </c>
      <c r="E5" s="135" t="s">
        <v>55</v>
      </c>
      <c r="F5" s="135"/>
      <c r="G5" s="135" t="s">
        <v>56</v>
      </c>
      <c r="H5" s="135"/>
      <c r="I5" s="135" t="s">
        <v>57</v>
      </c>
      <c r="J5" s="135"/>
      <c r="K5" s="132" t="s">
        <v>58</v>
      </c>
      <c r="L5" s="132"/>
      <c r="M5" s="133"/>
      <c r="N5" s="141" t="s">
        <v>54</v>
      </c>
      <c r="O5" s="135" t="s">
        <v>59</v>
      </c>
      <c r="P5" s="135"/>
      <c r="Q5" s="135" t="s">
        <v>60</v>
      </c>
      <c r="R5" s="135"/>
      <c r="S5" s="135" t="s">
        <v>61</v>
      </c>
      <c r="T5" s="135"/>
      <c r="U5" s="132" t="s">
        <v>58</v>
      </c>
      <c r="V5" s="132"/>
      <c r="W5" s="133"/>
      <c r="X5" s="134" t="s">
        <v>54</v>
      </c>
      <c r="Y5" s="135" t="s">
        <v>62</v>
      </c>
      <c r="Z5" s="135"/>
      <c r="AA5" s="135" t="s">
        <v>63</v>
      </c>
      <c r="AB5" s="135"/>
      <c r="AC5" s="135" t="s">
        <v>64</v>
      </c>
      <c r="AD5" s="135"/>
      <c r="AE5" s="132" t="s">
        <v>58</v>
      </c>
      <c r="AF5" s="132"/>
      <c r="AG5" s="132"/>
      <c r="AH5" s="143" t="s">
        <v>62</v>
      </c>
      <c r="AI5" s="144"/>
      <c r="AJ5" s="147" t="s">
        <v>63</v>
      </c>
      <c r="AK5" s="144"/>
      <c r="AL5" s="147" t="s">
        <v>64</v>
      </c>
      <c r="AM5" s="149"/>
      <c r="AN5" s="132" t="s">
        <v>58</v>
      </c>
      <c r="AO5" s="132"/>
      <c r="AP5" s="151"/>
    </row>
    <row r="6" spans="2:42" ht="93.75" customHeight="1">
      <c r="B6" s="123"/>
      <c r="C6" s="124"/>
      <c r="D6" s="140"/>
      <c r="E6" s="135"/>
      <c r="F6" s="135"/>
      <c r="G6" s="135"/>
      <c r="H6" s="135"/>
      <c r="I6" s="135"/>
      <c r="J6" s="135"/>
      <c r="K6" s="60" t="s">
        <v>82</v>
      </c>
      <c r="L6" s="61" t="s">
        <v>83</v>
      </c>
      <c r="M6" s="61" t="s">
        <v>84</v>
      </c>
      <c r="N6" s="142"/>
      <c r="O6" s="135"/>
      <c r="P6" s="135"/>
      <c r="Q6" s="135"/>
      <c r="R6" s="135"/>
      <c r="S6" s="135"/>
      <c r="T6" s="135"/>
      <c r="U6" s="60" t="s">
        <v>82</v>
      </c>
      <c r="V6" s="61" t="s">
        <v>85</v>
      </c>
      <c r="W6" s="61" t="s">
        <v>84</v>
      </c>
      <c r="X6" s="134"/>
      <c r="Y6" s="135"/>
      <c r="Z6" s="135"/>
      <c r="AA6" s="135"/>
      <c r="AB6" s="135"/>
      <c r="AC6" s="135"/>
      <c r="AD6" s="135"/>
      <c r="AE6" s="60" t="s">
        <v>82</v>
      </c>
      <c r="AF6" s="61" t="s">
        <v>85</v>
      </c>
      <c r="AG6" s="62" t="s">
        <v>84</v>
      </c>
      <c r="AH6" s="145"/>
      <c r="AI6" s="146"/>
      <c r="AJ6" s="148"/>
      <c r="AK6" s="146"/>
      <c r="AL6" s="148"/>
      <c r="AM6" s="150"/>
      <c r="AN6" s="60" t="s">
        <v>82</v>
      </c>
      <c r="AO6" s="61" t="s">
        <v>85</v>
      </c>
      <c r="AP6" s="63" t="s">
        <v>84</v>
      </c>
    </row>
    <row r="7" spans="2:42" ht="33.75" customHeight="1">
      <c r="B7" s="4"/>
      <c r="C7" s="54"/>
      <c r="D7" s="64"/>
      <c r="E7" s="9"/>
      <c r="F7" s="9" t="s">
        <v>65</v>
      </c>
      <c r="G7" s="9"/>
      <c r="H7" s="9" t="s">
        <v>65</v>
      </c>
      <c r="I7" s="9"/>
      <c r="J7" s="9" t="s">
        <v>65</v>
      </c>
      <c r="K7" s="9"/>
      <c r="L7" s="9"/>
      <c r="M7" s="9"/>
      <c r="N7" s="55"/>
      <c r="O7" s="9"/>
      <c r="P7" s="9" t="s">
        <v>65</v>
      </c>
      <c r="Q7" s="9"/>
      <c r="R7" s="9" t="s">
        <v>65</v>
      </c>
      <c r="S7" s="9"/>
      <c r="T7" s="9" t="s">
        <v>65</v>
      </c>
      <c r="U7" s="9"/>
      <c r="V7" s="9"/>
      <c r="W7" s="9"/>
      <c r="X7" s="49"/>
      <c r="Y7" s="9"/>
      <c r="Z7" s="9" t="s">
        <v>65</v>
      </c>
      <c r="AA7" s="10"/>
      <c r="AB7" s="9" t="s">
        <v>65</v>
      </c>
      <c r="AC7" s="10"/>
      <c r="AD7" s="48" t="s">
        <v>65</v>
      </c>
      <c r="AE7" s="19"/>
      <c r="AF7" s="19"/>
      <c r="AG7" s="65"/>
      <c r="AH7" s="66"/>
      <c r="AI7" s="9" t="s">
        <v>65</v>
      </c>
      <c r="AJ7" s="10"/>
      <c r="AK7" s="9" t="s">
        <v>65</v>
      </c>
      <c r="AL7" s="10"/>
      <c r="AM7" s="48" t="s">
        <v>65</v>
      </c>
      <c r="AN7" s="7"/>
      <c r="AO7" s="7"/>
      <c r="AP7" s="67"/>
    </row>
    <row r="8" spans="2:42" ht="30.75" customHeight="1">
      <c r="B8" s="5">
        <v>1</v>
      </c>
      <c r="C8" s="68" t="s">
        <v>86</v>
      </c>
      <c r="D8" s="69">
        <f>SUM(E8:M8)</f>
        <v>427</v>
      </c>
      <c r="E8" s="70">
        <v>181</v>
      </c>
      <c r="F8" s="70">
        <v>5</v>
      </c>
      <c r="G8" s="70">
        <v>198</v>
      </c>
      <c r="H8" s="70">
        <v>2</v>
      </c>
      <c r="I8" s="70">
        <v>41</v>
      </c>
      <c r="J8" s="70">
        <v>0</v>
      </c>
      <c r="K8" s="70">
        <v>0</v>
      </c>
      <c r="L8" s="70">
        <v>0</v>
      </c>
      <c r="M8" s="70">
        <v>0</v>
      </c>
      <c r="N8" s="71">
        <f>SUM(O8:W8)</f>
        <v>438</v>
      </c>
      <c r="O8" s="72">
        <v>178</v>
      </c>
      <c r="P8" s="73">
        <v>5</v>
      </c>
      <c r="Q8" s="73">
        <v>213</v>
      </c>
      <c r="R8" s="73">
        <v>2</v>
      </c>
      <c r="S8" s="27">
        <v>40</v>
      </c>
      <c r="T8" s="27">
        <v>0</v>
      </c>
      <c r="U8" s="27"/>
      <c r="V8" s="27"/>
      <c r="W8" s="27"/>
      <c r="X8" s="50">
        <f aca="true" t="shared" si="0" ref="X8:X24">N8/D8*100</f>
        <v>102.57611241217799</v>
      </c>
      <c r="Y8" s="32">
        <f aca="true" t="shared" si="1" ref="Y8:Y24">((O8)/(E8))*100</f>
        <v>98.34254143646409</v>
      </c>
      <c r="Z8" s="32">
        <f aca="true" t="shared" si="2" ref="Z8:Z24">P8/F8*100</f>
        <v>100</v>
      </c>
      <c r="AA8" s="32">
        <f aca="true" t="shared" si="3" ref="AA8:AA24">((Q8)/(G8))*100</f>
        <v>107.57575757575756</v>
      </c>
      <c r="AB8" s="32">
        <f aca="true" t="shared" si="4" ref="AB8:AB24">R8/H8*100</f>
        <v>100</v>
      </c>
      <c r="AC8" s="33">
        <f aca="true" t="shared" si="5" ref="AC8:AC24">((S8)/(I8))*100</f>
        <v>97.5609756097561</v>
      </c>
      <c r="AD8" s="74" t="e">
        <f>T8/J8*100</f>
        <v>#DIV/0!</v>
      </c>
      <c r="AE8" s="75" t="e">
        <f>U8/K8*100</f>
        <v>#DIV/0!</v>
      </c>
      <c r="AF8" s="75" t="e">
        <f>V8/L8*100</f>
        <v>#DIV/0!</v>
      </c>
      <c r="AG8" s="74" t="e">
        <f>W8/M8*100</f>
        <v>#DIV/0!</v>
      </c>
      <c r="AH8" s="76">
        <f aca="true" t="shared" si="6" ref="AH8:AP24">Y8-100</f>
        <v>-1.6574585635359114</v>
      </c>
      <c r="AI8" s="33">
        <f t="shared" si="6"/>
        <v>0</v>
      </c>
      <c r="AJ8" s="33">
        <f t="shared" si="6"/>
        <v>7.575757575757564</v>
      </c>
      <c r="AK8" s="33">
        <f t="shared" si="6"/>
        <v>0</v>
      </c>
      <c r="AL8" s="33">
        <f t="shared" si="6"/>
        <v>-2.439024390243901</v>
      </c>
      <c r="AM8" s="74" t="e">
        <f t="shared" si="6"/>
        <v>#DIV/0!</v>
      </c>
      <c r="AN8" s="75" t="e">
        <f t="shared" si="6"/>
        <v>#DIV/0!</v>
      </c>
      <c r="AO8" s="75" t="e">
        <f t="shared" si="6"/>
        <v>#DIV/0!</v>
      </c>
      <c r="AP8" s="77" t="e">
        <f t="shared" si="6"/>
        <v>#DIV/0!</v>
      </c>
    </row>
    <row r="9" spans="2:42" ht="31.5" customHeight="1">
      <c r="B9" s="5">
        <v>2</v>
      </c>
      <c r="C9" s="68" t="s">
        <v>87</v>
      </c>
      <c r="D9" s="69">
        <f aca="true" t="shared" si="7" ref="D9:D24">SUM(E9:M9)</f>
        <v>505</v>
      </c>
      <c r="E9" s="78">
        <v>226</v>
      </c>
      <c r="F9" s="78">
        <v>7</v>
      </c>
      <c r="G9" s="78">
        <v>229</v>
      </c>
      <c r="H9" s="78">
        <v>3</v>
      </c>
      <c r="I9" s="78">
        <v>40</v>
      </c>
      <c r="J9" s="78">
        <v>0</v>
      </c>
      <c r="K9" s="78">
        <v>0</v>
      </c>
      <c r="L9" s="78">
        <v>0</v>
      </c>
      <c r="M9" s="78">
        <v>0</v>
      </c>
      <c r="N9" s="71">
        <f aca="true" t="shared" si="8" ref="N9:N23">SUM(O9:W9)</f>
        <v>504</v>
      </c>
      <c r="O9" s="73">
        <v>222</v>
      </c>
      <c r="P9" s="73">
        <v>7</v>
      </c>
      <c r="Q9" s="73">
        <v>234</v>
      </c>
      <c r="R9" s="73">
        <v>3</v>
      </c>
      <c r="S9" s="27">
        <v>38</v>
      </c>
      <c r="T9" s="27">
        <v>0</v>
      </c>
      <c r="U9" s="27"/>
      <c r="V9" s="27"/>
      <c r="W9" s="27"/>
      <c r="X9" s="50">
        <f t="shared" si="0"/>
        <v>99.8019801980198</v>
      </c>
      <c r="Y9" s="32">
        <f t="shared" si="1"/>
        <v>98.23008849557522</v>
      </c>
      <c r="Z9" s="32">
        <f t="shared" si="2"/>
        <v>100</v>
      </c>
      <c r="AA9" s="32">
        <f t="shared" si="3"/>
        <v>102.18340611353712</v>
      </c>
      <c r="AB9" s="32">
        <f t="shared" si="4"/>
        <v>100</v>
      </c>
      <c r="AC9" s="33">
        <f t="shared" si="5"/>
        <v>95</v>
      </c>
      <c r="AD9" s="74" t="e">
        <f aca="true" t="shared" si="9" ref="AD9:AG24">T9/J9*100</f>
        <v>#DIV/0!</v>
      </c>
      <c r="AE9" s="75" t="e">
        <f t="shared" si="9"/>
        <v>#DIV/0!</v>
      </c>
      <c r="AF9" s="75" t="e">
        <f t="shared" si="9"/>
        <v>#DIV/0!</v>
      </c>
      <c r="AG9" s="74" t="e">
        <f t="shared" si="9"/>
        <v>#DIV/0!</v>
      </c>
      <c r="AH9" s="76">
        <f t="shared" si="6"/>
        <v>-1.7699115044247833</v>
      </c>
      <c r="AI9" s="33">
        <f t="shared" si="6"/>
        <v>0</v>
      </c>
      <c r="AJ9" s="33">
        <f t="shared" si="6"/>
        <v>2.183406113537117</v>
      </c>
      <c r="AK9" s="33">
        <f t="shared" si="6"/>
        <v>0</v>
      </c>
      <c r="AL9" s="33">
        <f t="shared" si="6"/>
        <v>-5</v>
      </c>
      <c r="AM9" s="74" t="e">
        <f t="shared" si="6"/>
        <v>#DIV/0!</v>
      </c>
      <c r="AN9" s="75" t="e">
        <f t="shared" si="6"/>
        <v>#DIV/0!</v>
      </c>
      <c r="AO9" s="75" t="e">
        <f t="shared" si="6"/>
        <v>#DIV/0!</v>
      </c>
      <c r="AP9" s="77" t="e">
        <f t="shared" si="6"/>
        <v>#DIV/0!</v>
      </c>
    </row>
    <row r="10" spans="2:42" ht="23.25" customHeight="1">
      <c r="B10" s="7">
        <v>3</v>
      </c>
      <c r="C10" s="79" t="s">
        <v>88</v>
      </c>
      <c r="D10" s="69">
        <f t="shared" si="7"/>
        <v>734</v>
      </c>
      <c r="E10" s="70">
        <v>343</v>
      </c>
      <c r="F10" s="70">
        <v>2</v>
      </c>
      <c r="G10" s="70">
        <v>356</v>
      </c>
      <c r="H10" s="70">
        <v>0</v>
      </c>
      <c r="I10" s="78">
        <v>33</v>
      </c>
      <c r="J10" s="78">
        <v>0</v>
      </c>
      <c r="K10" s="78">
        <v>0</v>
      </c>
      <c r="L10" s="78">
        <v>0</v>
      </c>
      <c r="M10" s="78">
        <v>0</v>
      </c>
      <c r="N10" s="71">
        <f t="shared" si="8"/>
        <v>747</v>
      </c>
      <c r="O10" s="27">
        <v>350</v>
      </c>
      <c r="P10" s="27">
        <v>2</v>
      </c>
      <c r="Q10" s="27">
        <v>364</v>
      </c>
      <c r="R10" s="27">
        <v>0</v>
      </c>
      <c r="S10" s="27">
        <v>31</v>
      </c>
      <c r="T10" s="27">
        <v>0</v>
      </c>
      <c r="U10" s="27"/>
      <c r="V10" s="27"/>
      <c r="W10" s="27"/>
      <c r="X10" s="50">
        <f t="shared" si="0"/>
        <v>101.77111716621255</v>
      </c>
      <c r="Y10" s="32">
        <f t="shared" si="1"/>
        <v>102.04081632653062</v>
      </c>
      <c r="Z10" s="32">
        <f t="shared" si="2"/>
        <v>100</v>
      </c>
      <c r="AA10" s="32">
        <f t="shared" si="3"/>
        <v>102.24719101123596</v>
      </c>
      <c r="AB10" s="80" t="e">
        <f t="shared" si="4"/>
        <v>#DIV/0!</v>
      </c>
      <c r="AC10" s="33">
        <f t="shared" si="5"/>
        <v>93.93939393939394</v>
      </c>
      <c r="AD10" s="74" t="e">
        <f t="shared" si="9"/>
        <v>#DIV/0!</v>
      </c>
      <c r="AE10" s="75" t="e">
        <f t="shared" si="9"/>
        <v>#DIV/0!</v>
      </c>
      <c r="AF10" s="75" t="e">
        <f t="shared" si="9"/>
        <v>#DIV/0!</v>
      </c>
      <c r="AG10" s="74" t="e">
        <f t="shared" si="9"/>
        <v>#DIV/0!</v>
      </c>
      <c r="AH10" s="76">
        <f t="shared" si="6"/>
        <v>2.040816326530617</v>
      </c>
      <c r="AI10" s="33">
        <f t="shared" si="6"/>
        <v>0</v>
      </c>
      <c r="AJ10" s="33">
        <f t="shared" si="6"/>
        <v>2.247191011235955</v>
      </c>
      <c r="AK10" s="75" t="e">
        <f t="shared" si="6"/>
        <v>#DIV/0!</v>
      </c>
      <c r="AL10" s="33">
        <f t="shared" si="6"/>
        <v>-6.060606060606062</v>
      </c>
      <c r="AM10" s="74" t="e">
        <f t="shared" si="6"/>
        <v>#DIV/0!</v>
      </c>
      <c r="AN10" s="75" t="e">
        <f t="shared" si="6"/>
        <v>#DIV/0!</v>
      </c>
      <c r="AO10" s="75" t="e">
        <f t="shared" si="6"/>
        <v>#DIV/0!</v>
      </c>
      <c r="AP10" s="77" t="e">
        <f t="shared" si="6"/>
        <v>#DIV/0!</v>
      </c>
    </row>
    <row r="11" spans="2:42" ht="23.25" customHeight="1">
      <c r="B11" s="7">
        <v>4</v>
      </c>
      <c r="C11" s="79" t="s">
        <v>66</v>
      </c>
      <c r="D11" s="69">
        <f t="shared" si="7"/>
        <v>252</v>
      </c>
      <c r="E11" s="70">
        <v>112</v>
      </c>
      <c r="F11" s="70">
        <f>4-1</f>
        <v>3</v>
      </c>
      <c r="G11" s="70">
        <v>118</v>
      </c>
      <c r="H11" s="70">
        <f>4+1</f>
        <v>5</v>
      </c>
      <c r="I11" s="78">
        <v>14</v>
      </c>
      <c r="J11" s="78">
        <v>0</v>
      </c>
      <c r="K11" s="78">
        <v>0</v>
      </c>
      <c r="L11" s="78">
        <v>0</v>
      </c>
      <c r="M11" s="78">
        <v>0</v>
      </c>
      <c r="N11" s="71">
        <f t="shared" si="8"/>
        <v>253</v>
      </c>
      <c r="O11" s="27">
        <v>112</v>
      </c>
      <c r="P11" s="27">
        <v>3</v>
      </c>
      <c r="Q11" s="27">
        <v>119</v>
      </c>
      <c r="R11" s="27">
        <v>5</v>
      </c>
      <c r="S11" s="27">
        <v>14</v>
      </c>
      <c r="T11" s="27">
        <v>0</v>
      </c>
      <c r="U11" s="27"/>
      <c r="V11" s="27"/>
      <c r="W11" s="27"/>
      <c r="X11" s="50">
        <f t="shared" si="0"/>
        <v>100.39682539682539</v>
      </c>
      <c r="Y11" s="32">
        <f t="shared" si="1"/>
        <v>100</v>
      </c>
      <c r="Z11" s="32">
        <f t="shared" si="2"/>
        <v>100</v>
      </c>
      <c r="AA11" s="32">
        <f t="shared" si="3"/>
        <v>100.84745762711864</v>
      </c>
      <c r="AB11" s="32">
        <f t="shared" si="4"/>
        <v>100</v>
      </c>
      <c r="AC11" s="33">
        <f t="shared" si="5"/>
        <v>100</v>
      </c>
      <c r="AD11" s="74" t="e">
        <f t="shared" si="9"/>
        <v>#DIV/0!</v>
      </c>
      <c r="AE11" s="75" t="e">
        <f t="shared" si="9"/>
        <v>#DIV/0!</v>
      </c>
      <c r="AF11" s="75" t="e">
        <f t="shared" si="9"/>
        <v>#DIV/0!</v>
      </c>
      <c r="AG11" s="74" t="e">
        <f t="shared" si="9"/>
        <v>#DIV/0!</v>
      </c>
      <c r="AH11" s="76">
        <f t="shared" si="6"/>
        <v>0</v>
      </c>
      <c r="AI11" s="33">
        <f t="shared" si="6"/>
        <v>0</v>
      </c>
      <c r="AJ11" s="33">
        <f t="shared" si="6"/>
        <v>0.8474576271186436</v>
      </c>
      <c r="AK11" s="33">
        <f t="shared" si="6"/>
        <v>0</v>
      </c>
      <c r="AL11" s="33">
        <f t="shared" si="6"/>
        <v>0</v>
      </c>
      <c r="AM11" s="74" t="e">
        <f t="shared" si="6"/>
        <v>#DIV/0!</v>
      </c>
      <c r="AN11" s="75" t="e">
        <f t="shared" si="6"/>
        <v>#DIV/0!</v>
      </c>
      <c r="AO11" s="75" t="e">
        <f t="shared" si="6"/>
        <v>#DIV/0!</v>
      </c>
      <c r="AP11" s="77" t="e">
        <f t="shared" si="6"/>
        <v>#DIV/0!</v>
      </c>
    </row>
    <row r="12" spans="2:42" ht="23.25" customHeight="1">
      <c r="B12" s="7">
        <v>5</v>
      </c>
      <c r="C12" s="79" t="s">
        <v>67</v>
      </c>
      <c r="D12" s="69">
        <f t="shared" si="7"/>
        <v>620</v>
      </c>
      <c r="E12" s="81">
        <v>271</v>
      </c>
      <c r="F12" s="70">
        <v>7</v>
      </c>
      <c r="G12" s="70">
        <v>303</v>
      </c>
      <c r="H12" s="70">
        <v>5</v>
      </c>
      <c r="I12" s="78">
        <f>26-1</f>
        <v>25</v>
      </c>
      <c r="J12" s="78">
        <v>0</v>
      </c>
      <c r="K12" s="78">
        <f>5+2</f>
        <v>7</v>
      </c>
      <c r="L12" s="78">
        <f>1+1</f>
        <v>2</v>
      </c>
      <c r="M12" s="78">
        <v>0</v>
      </c>
      <c r="N12" s="71">
        <f t="shared" si="8"/>
        <v>632</v>
      </c>
      <c r="O12" s="70">
        <f>274+1</f>
        <v>275</v>
      </c>
      <c r="P12" s="70">
        <f>8-1</f>
        <v>7</v>
      </c>
      <c r="Q12" s="70">
        <v>311</v>
      </c>
      <c r="R12" s="70">
        <v>5</v>
      </c>
      <c r="S12" s="70">
        <v>25</v>
      </c>
      <c r="T12" s="70">
        <v>0</v>
      </c>
      <c r="U12" s="70">
        <v>7</v>
      </c>
      <c r="V12" s="70">
        <v>2</v>
      </c>
      <c r="W12" s="27">
        <v>0</v>
      </c>
      <c r="X12" s="50">
        <f t="shared" si="0"/>
        <v>101.93548387096773</v>
      </c>
      <c r="Y12" s="32">
        <f t="shared" si="1"/>
        <v>101.4760147601476</v>
      </c>
      <c r="Z12" s="32">
        <f t="shared" si="2"/>
        <v>100</v>
      </c>
      <c r="AA12" s="32">
        <f t="shared" si="3"/>
        <v>102.64026402640265</v>
      </c>
      <c r="AB12" s="32">
        <f t="shared" si="4"/>
        <v>100</v>
      </c>
      <c r="AC12" s="33">
        <f t="shared" si="5"/>
        <v>100</v>
      </c>
      <c r="AD12" s="74" t="e">
        <f t="shared" si="9"/>
        <v>#DIV/0!</v>
      </c>
      <c r="AE12" s="33">
        <f t="shared" si="9"/>
        <v>100</v>
      </c>
      <c r="AF12" s="33">
        <f t="shared" si="9"/>
        <v>100</v>
      </c>
      <c r="AG12" s="74" t="e">
        <f t="shared" si="9"/>
        <v>#DIV/0!</v>
      </c>
      <c r="AH12" s="76">
        <f t="shared" si="6"/>
        <v>1.4760147601476064</v>
      </c>
      <c r="AI12" s="33">
        <f t="shared" si="6"/>
        <v>0</v>
      </c>
      <c r="AJ12" s="33">
        <f t="shared" si="6"/>
        <v>2.6402640264026473</v>
      </c>
      <c r="AK12" s="33">
        <f t="shared" si="6"/>
        <v>0</v>
      </c>
      <c r="AL12" s="33">
        <f t="shared" si="6"/>
        <v>0</v>
      </c>
      <c r="AM12" s="74" t="e">
        <f t="shared" si="6"/>
        <v>#DIV/0!</v>
      </c>
      <c r="AN12" s="33">
        <f t="shared" si="6"/>
        <v>0</v>
      </c>
      <c r="AO12" s="33">
        <f t="shared" si="6"/>
        <v>0</v>
      </c>
      <c r="AP12" s="77" t="e">
        <f t="shared" si="6"/>
        <v>#DIV/0!</v>
      </c>
    </row>
    <row r="13" spans="2:42" ht="23.25" customHeight="1">
      <c r="B13" s="7">
        <v>6</v>
      </c>
      <c r="C13" s="79" t="s">
        <v>68</v>
      </c>
      <c r="D13" s="69">
        <f t="shared" si="7"/>
        <v>135</v>
      </c>
      <c r="E13" s="70">
        <v>52</v>
      </c>
      <c r="F13" s="70">
        <v>2</v>
      </c>
      <c r="G13" s="70">
        <f>77-2</f>
        <v>75</v>
      </c>
      <c r="H13" s="70">
        <f>2+1</f>
        <v>3</v>
      </c>
      <c r="I13" s="78">
        <f>2+1</f>
        <v>3</v>
      </c>
      <c r="J13" s="78">
        <v>0</v>
      </c>
      <c r="K13" s="78">
        <v>0</v>
      </c>
      <c r="L13" s="78">
        <v>0</v>
      </c>
      <c r="M13" s="78">
        <v>0</v>
      </c>
      <c r="N13" s="71">
        <f t="shared" si="8"/>
        <v>136</v>
      </c>
      <c r="O13" s="70">
        <v>53</v>
      </c>
      <c r="P13" s="70">
        <v>2</v>
      </c>
      <c r="Q13" s="70">
        <v>75</v>
      </c>
      <c r="R13" s="70">
        <v>3</v>
      </c>
      <c r="S13" s="70">
        <v>3</v>
      </c>
      <c r="T13" s="70">
        <v>0</v>
      </c>
      <c r="U13" s="70"/>
      <c r="V13" s="70"/>
      <c r="W13" s="27"/>
      <c r="X13" s="50">
        <f t="shared" si="0"/>
        <v>100.74074074074073</v>
      </c>
      <c r="Y13" s="32">
        <f t="shared" si="1"/>
        <v>101.92307692307692</v>
      </c>
      <c r="Z13" s="32">
        <f t="shared" si="2"/>
        <v>100</v>
      </c>
      <c r="AA13" s="32">
        <f t="shared" si="3"/>
        <v>100</v>
      </c>
      <c r="AB13" s="32">
        <f t="shared" si="4"/>
        <v>100</v>
      </c>
      <c r="AC13" s="33">
        <f t="shared" si="5"/>
        <v>100</v>
      </c>
      <c r="AD13" s="74" t="e">
        <f t="shared" si="9"/>
        <v>#DIV/0!</v>
      </c>
      <c r="AE13" s="75" t="e">
        <f t="shared" si="9"/>
        <v>#DIV/0!</v>
      </c>
      <c r="AF13" s="75" t="e">
        <f t="shared" si="9"/>
        <v>#DIV/0!</v>
      </c>
      <c r="AG13" s="74" t="e">
        <f t="shared" si="9"/>
        <v>#DIV/0!</v>
      </c>
      <c r="AH13" s="76">
        <f t="shared" si="6"/>
        <v>1.9230769230769198</v>
      </c>
      <c r="AI13" s="33">
        <f t="shared" si="6"/>
        <v>0</v>
      </c>
      <c r="AJ13" s="33">
        <f t="shared" si="6"/>
        <v>0</v>
      </c>
      <c r="AK13" s="33">
        <f t="shared" si="6"/>
        <v>0</v>
      </c>
      <c r="AL13" s="33">
        <f t="shared" si="6"/>
        <v>0</v>
      </c>
      <c r="AM13" s="74" t="e">
        <f t="shared" si="6"/>
        <v>#DIV/0!</v>
      </c>
      <c r="AN13" s="75" t="e">
        <f t="shared" si="6"/>
        <v>#DIV/0!</v>
      </c>
      <c r="AO13" s="75" t="e">
        <f t="shared" si="6"/>
        <v>#DIV/0!</v>
      </c>
      <c r="AP13" s="77" t="e">
        <f t="shared" si="6"/>
        <v>#DIV/0!</v>
      </c>
    </row>
    <row r="14" spans="2:42" ht="23.25" customHeight="1">
      <c r="B14" s="7">
        <v>7</v>
      </c>
      <c r="C14" s="79" t="s">
        <v>69</v>
      </c>
      <c r="D14" s="69">
        <f t="shared" si="7"/>
        <v>285</v>
      </c>
      <c r="E14" s="70">
        <v>140</v>
      </c>
      <c r="F14" s="70">
        <v>5</v>
      </c>
      <c r="G14" s="70">
        <f>121+1</f>
        <v>122</v>
      </c>
      <c r="H14" s="70">
        <v>1</v>
      </c>
      <c r="I14" s="78">
        <f>18-1</f>
        <v>17</v>
      </c>
      <c r="J14" s="78">
        <v>0</v>
      </c>
      <c r="K14" s="78">
        <v>0</v>
      </c>
      <c r="L14" s="78">
        <v>0</v>
      </c>
      <c r="M14" s="78">
        <v>0</v>
      </c>
      <c r="N14" s="71">
        <f t="shared" si="8"/>
        <v>293</v>
      </c>
      <c r="O14" s="70">
        <v>140</v>
      </c>
      <c r="P14" s="70">
        <v>5</v>
      </c>
      <c r="Q14" s="70">
        <v>130</v>
      </c>
      <c r="R14" s="70">
        <v>1</v>
      </c>
      <c r="S14" s="70">
        <v>17</v>
      </c>
      <c r="T14" s="70">
        <v>0</v>
      </c>
      <c r="U14" s="70"/>
      <c r="V14" s="70"/>
      <c r="W14" s="27"/>
      <c r="X14" s="50">
        <f t="shared" si="0"/>
        <v>102.80701754385966</v>
      </c>
      <c r="Y14" s="32">
        <f t="shared" si="1"/>
        <v>100</v>
      </c>
      <c r="Z14" s="32">
        <f t="shared" si="2"/>
        <v>100</v>
      </c>
      <c r="AA14" s="32">
        <f t="shared" si="3"/>
        <v>106.55737704918033</v>
      </c>
      <c r="AB14" s="32">
        <f t="shared" si="4"/>
        <v>100</v>
      </c>
      <c r="AC14" s="33">
        <f t="shared" si="5"/>
        <v>100</v>
      </c>
      <c r="AD14" s="74" t="e">
        <f t="shared" si="9"/>
        <v>#DIV/0!</v>
      </c>
      <c r="AE14" s="75" t="e">
        <f t="shared" si="9"/>
        <v>#DIV/0!</v>
      </c>
      <c r="AF14" s="75" t="e">
        <f t="shared" si="9"/>
        <v>#DIV/0!</v>
      </c>
      <c r="AG14" s="74" t="e">
        <f t="shared" si="9"/>
        <v>#DIV/0!</v>
      </c>
      <c r="AH14" s="76">
        <f t="shared" si="6"/>
        <v>0</v>
      </c>
      <c r="AI14" s="33">
        <f t="shared" si="6"/>
        <v>0</v>
      </c>
      <c r="AJ14" s="33">
        <f t="shared" si="6"/>
        <v>6.557377049180332</v>
      </c>
      <c r="AK14" s="33">
        <f t="shared" si="6"/>
        <v>0</v>
      </c>
      <c r="AL14" s="33">
        <f t="shared" si="6"/>
        <v>0</v>
      </c>
      <c r="AM14" s="74" t="e">
        <f t="shared" si="6"/>
        <v>#DIV/0!</v>
      </c>
      <c r="AN14" s="75" t="e">
        <f t="shared" si="6"/>
        <v>#DIV/0!</v>
      </c>
      <c r="AO14" s="75" t="e">
        <f t="shared" si="6"/>
        <v>#DIV/0!</v>
      </c>
      <c r="AP14" s="77" t="e">
        <f t="shared" si="6"/>
        <v>#DIV/0!</v>
      </c>
    </row>
    <row r="15" spans="2:42" ht="23.25" customHeight="1">
      <c r="B15" s="7">
        <v>8</v>
      </c>
      <c r="C15" s="79" t="s">
        <v>70</v>
      </c>
      <c r="D15" s="69">
        <f t="shared" si="7"/>
        <v>88</v>
      </c>
      <c r="E15" s="70">
        <v>0</v>
      </c>
      <c r="F15" s="70">
        <v>0</v>
      </c>
      <c r="G15" s="70">
        <v>18</v>
      </c>
      <c r="H15" s="70"/>
      <c r="I15" s="78">
        <v>70</v>
      </c>
      <c r="J15" s="78">
        <v>0</v>
      </c>
      <c r="K15" s="78">
        <v>0</v>
      </c>
      <c r="L15" s="78">
        <v>0</v>
      </c>
      <c r="M15" s="78">
        <v>0</v>
      </c>
      <c r="N15" s="71">
        <f t="shared" si="8"/>
        <v>83</v>
      </c>
      <c r="O15" s="70">
        <v>0</v>
      </c>
      <c r="P15" s="70">
        <v>0</v>
      </c>
      <c r="Q15" s="70">
        <v>19</v>
      </c>
      <c r="R15" s="70">
        <v>0</v>
      </c>
      <c r="S15" s="70">
        <v>64</v>
      </c>
      <c r="T15" s="70">
        <v>0</v>
      </c>
      <c r="U15" s="70"/>
      <c r="V15" s="70"/>
      <c r="W15" s="27"/>
      <c r="X15" s="50">
        <f t="shared" si="0"/>
        <v>94.31818181818183</v>
      </c>
      <c r="Y15" s="80" t="e">
        <f t="shared" si="1"/>
        <v>#DIV/0!</v>
      </c>
      <c r="Z15" s="80" t="e">
        <f t="shared" si="2"/>
        <v>#DIV/0!</v>
      </c>
      <c r="AA15" s="32">
        <f t="shared" si="3"/>
        <v>105.55555555555556</v>
      </c>
      <c r="AB15" s="80" t="e">
        <f t="shared" si="4"/>
        <v>#DIV/0!</v>
      </c>
      <c r="AC15" s="33">
        <f t="shared" si="5"/>
        <v>91.42857142857143</v>
      </c>
      <c r="AD15" s="74" t="e">
        <f t="shared" si="9"/>
        <v>#DIV/0!</v>
      </c>
      <c r="AE15" s="75" t="e">
        <f t="shared" si="9"/>
        <v>#DIV/0!</v>
      </c>
      <c r="AF15" s="75" t="e">
        <f t="shared" si="9"/>
        <v>#DIV/0!</v>
      </c>
      <c r="AG15" s="74" t="e">
        <f t="shared" si="9"/>
        <v>#DIV/0!</v>
      </c>
      <c r="AH15" s="82" t="e">
        <f t="shared" si="6"/>
        <v>#DIV/0!</v>
      </c>
      <c r="AI15" s="75" t="e">
        <f t="shared" si="6"/>
        <v>#DIV/0!</v>
      </c>
      <c r="AJ15" s="33">
        <f t="shared" si="6"/>
        <v>5.555555555555557</v>
      </c>
      <c r="AK15" s="75" t="e">
        <f t="shared" si="6"/>
        <v>#DIV/0!</v>
      </c>
      <c r="AL15" s="33">
        <f t="shared" si="6"/>
        <v>-8.57142857142857</v>
      </c>
      <c r="AM15" s="74" t="e">
        <f t="shared" si="6"/>
        <v>#DIV/0!</v>
      </c>
      <c r="AN15" s="75" t="e">
        <f t="shared" si="6"/>
        <v>#DIV/0!</v>
      </c>
      <c r="AO15" s="75" t="e">
        <f t="shared" si="6"/>
        <v>#DIV/0!</v>
      </c>
      <c r="AP15" s="77" t="e">
        <f t="shared" si="6"/>
        <v>#DIV/0!</v>
      </c>
    </row>
    <row r="16" spans="2:42" ht="23.25" customHeight="1">
      <c r="B16" s="7">
        <v>9</v>
      </c>
      <c r="C16" s="79" t="s">
        <v>71</v>
      </c>
      <c r="D16" s="69">
        <f t="shared" si="7"/>
        <v>51</v>
      </c>
      <c r="E16" s="70">
        <f>33-4</f>
        <v>29</v>
      </c>
      <c r="F16" s="70">
        <v>0</v>
      </c>
      <c r="G16" s="70">
        <f>18+4</f>
        <v>22</v>
      </c>
      <c r="H16" s="70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1">
        <f t="shared" si="8"/>
        <v>46</v>
      </c>
      <c r="O16" s="70">
        <v>26</v>
      </c>
      <c r="P16" s="70">
        <v>0</v>
      </c>
      <c r="Q16" s="70">
        <v>20</v>
      </c>
      <c r="R16" s="70">
        <v>0</v>
      </c>
      <c r="S16" s="70">
        <v>0</v>
      </c>
      <c r="T16" s="70">
        <v>0</v>
      </c>
      <c r="U16" s="70"/>
      <c r="V16" s="70"/>
      <c r="W16" s="27"/>
      <c r="X16" s="50">
        <f t="shared" si="0"/>
        <v>90.19607843137256</v>
      </c>
      <c r="Y16" s="32">
        <f t="shared" si="1"/>
        <v>89.65517241379311</v>
      </c>
      <c r="Z16" s="80" t="e">
        <f t="shared" si="2"/>
        <v>#DIV/0!</v>
      </c>
      <c r="AA16" s="32">
        <f t="shared" si="3"/>
        <v>90.9090909090909</v>
      </c>
      <c r="AB16" s="80" t="e">
        <f t="shared" si="4"/>
        <v>#DIV/0!</v>
      </c>
      <c r="AC16" s="75" t="e">
        <f t="shared" si="5"/>
        <v>#DIV/0!</v>
      </c>
      <c r="AD16" s="74" t="e">
        <f t="shared" si="9"/>
        <v>#DIV/0!</v>
      </c>
      <c r="AE16" s="75" t="e">
        <f t="shared" si="9"/>
        <v>#DIV/0!</v>
      </c>
      <c r="AF16" s="75" t="e">
        <f t="shared" si="9"/>
        <v>#DIV/0!</v>
      </c>
      <c r="AG16" s="74" t="e">
        <f t="shared" si="9"/>
        <v>#DIV/0!</v>
      </c>
      <c r="AH16" s="76">
        <f t="shared" si="6"/>
        <v>-10.34482758620689</v>
      </c>
      <c r="AI16" s="75" t="e">
        <f t="shared" si="6"/>
        <v>#DIV/0!</v>
      </c>
      <c r="AJ16" s="33">
        <f t="shared" si="6"/>
        <v>-9.090909090909093</v>
      </c>
      <c r="AK16" s="75" t="e">
        <f t="shared" si="6"/>
        <v>#DIV/0!</v>
      </c>
      <c r="AL16" s="75" t="e">
        <f t="shared" si="6"/>
        <v>#DIV/0!</v>
      </c>
      <c r="AM16" s="74" t="e">
        <f t="shared" si="6"/>
        <v>#DIV/0!</v>
      </c>
      <c r="AN16" s="75" t="e">
        <f t="shared" si="6"/>
        <v>#DIV/0!</v>
      </c>
      <c r="AO16" s="75" t="e">
        <f t="shared" si="6"/>
        <v>#DIV/0!</v>
      </c>
      <c r="AP16" s="77" t="e">
        <f t="shared" si="6"/>
        <v>#DIV/0!</v>
      </c>
    </row>
    <row r="17" spans="2:42" ht="23.25" customHeight="1">
      <c r="B17" s="7">
        <v>10</v>
      </c>
      <c r="C17" s="79" t="s">
        <v>72</v>
      </c>
      <c r="D17" s="69">
        <f t="shared" si="7"/>
        <v>71</v>
      </c>
      <c r="E17" s="70">
        <f>28-2</f>
        <v>26</v>
      </c>
      <c r="F17" s="70">
        <v>0</v>
      </c>
      <c r="G17" s="70">
        <f>43+2</f>
        <v>45</v>
      </c>
      <c r="H17" s="70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1">
        <f t="shared" si="8"/>
        <v>68</v>
      </c>
      <c r="O17" s="70">
        <v>25</v>
      </c>
      <c r="P17" s="70">
        <v>0</v>
      </c>
      <c r="Q17" s="70">
        <v>43</v>
      </c>
      <c r="R17" s="70">
        <v>0</v>
      </c>
      <c r="S17" s="70">
        <v>0</v>
      </c>
      <c r="T17" s="70">
        <v>0</v>
      </c>
      <c r="U17" s="70"/>
      <c r="V17" s="70"/>
      <c r="W17" s="27"/>
      <c r="X17" s="50">
        <f t="shared" si="0"/>
        <v>95.77464788732394</v>
      </c>
      <c r="Y17" s="32">
        <f t="shared" si="1"/>
        <v>96.15384615384616</v>
      </c>
      <c r="Z17" s="80" t="e">
        <f t="shared" si="2"/>
        <v>#DIV/0!</v>
      </c>
      <c r="AA17" s="32">
        <f t="shared" si="3"/>
        <v>95.55555555555556</v>
      </c>
      <c r="AB17" s="80" t="e">
        <f t="shared" si="4"/>
        <v>#DIV/0!</v>
      </c>
      <c r="AC17" s="75" t="e">
        <f t="shared" si="5"/>
        <v>#DIV/0!</v>
      </c>
      <c r="AD17" s="74" t="e">
        <f t="shared" si="9"/>
        <v>#DIV/0!</v>
      </c>
      <c r="AE17" s="75" t="e">
        <f t="shared" si="9"/>
        <v>#DIV/0!</v>
      </c>
      <c r="AF17" s="75" t="e">
        <f t="shared" si="9"/>
        <v>#DIV/0!</v>
      </c>
      <c r="AG17" s="74" t="e">
        <f t="shared" si="9"/>
        <v>#DIV/0!</v>
      </c>
      <c r="AH17" s="76">
        <f t="shared" si="6"/>
        <v>-3.8461538461538396</v>
      </c>
      <c r="AI17" s="75" t="e">
        <f t="shared" si="6"/>
        <v>#DIV/0!</v>
      </c>
      <c r="AJ17" s="33">
        <f t="shared" si="6"/>
        <v>-4.444444444444443</v>
      </c>
      <c r="AK17" s="75" t="e">
        <f t="shared" si="6"/>
        <v>#DIV/0!</v>
      </c>
      <c r="AL17" s="75" t="e">
        <f t="shared" si="6"/>
        <v>#DIV/0!</v>
      </c>
      <c r="AM17" s="74" t="e">
        <f t="shared" si="6"/>
        <v>#DIV/0!</v>
      </c>
      <c r="AN17" s="75" t="e">
        <f t="shared" si="6"/>
        <v>#DIV/0!</v>
      </c>
      <c r="AO17" s="75" t="e">
        <f t="shared" si="6"/>
        <v>#DIV/0!</v>
      </c>
      <c r="AP17" s="77" t="e">
        <f t="shared" si="6"/>
        <v>#DIV/0!</v>
      </c>
    </row>
    <row r="18" spans="2:42" ht="23.25" customHeight="1">
      <c r="B18" s="7">
        <v>11</v>
      </c>
      <c r="C18" s="79" t="s">
        <v>73</v>
      </c>
      <c r="D18" s="69">
        <f t="shared" si="7"/>
        <v>100</v>
      </c>
      <c r="E18" s="70">
        <v>45</v>
      </c>
      <c r="F18" s="70">
        <v>3</v>
      </c>
      <c r="G18" s="70">
        <v>51</v>
      </c>
      <c r="H18" s="70">
        <v>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1">
        <f t="shared" si="8"/>
        <v>100</v>
      </c>
      <c r="O18" s="70">
        <v>44</v>
      </c>
      <c r="P18" s="70">
        <v>3</v>
      </c>
      <c r="Q18" s="70">
        <v>52</v>
      </c>
      <c r="R18" s="70">
        <v>1</v>
      </c>
      <c r="S18" s="70">
        <v>0</v>
      </c>
      <c r="T18" s="70">
        <v>0</v>
      </c>
      <c r="U18" s="70"/>
      <c r="V18" s="70"/>
      <c r="W18" s="27"/>
      <c r="X18" s="50">
        <f t="shared" si="0"/>
        <v>100</v>
      </c>
      <c r="Y18" s="32">
        <f t="shared" si="1"/>
        <v>97.77777777777777</v>
      </c>
      <c r="Z18" s="32">
        <f t="shared" si="2"/>
        <v>100</v>
      </c>
      <c r="AA18" s="32">
        <f t="shared" si="3"/>
        <v>101.96078431372548</v>
      </c>
      <c r="AB18" s="32">
        <f t="shared" si="4"/>
        <v>100</v>
      </c>
      <c r="AC18" s="75" t="e">
        <f t="shared" si="5"/>
        <v>#DIV/0!</v>
      </c>
      <c r="AD18" s="74" t="e">
        <f t="shared" si="9"/>
        <v>#DIV/0!</v>
      </c>
      <c r="AE18" s="75" t="e">
        <f t="shared" si="9"/>
        <v>#DIV/0!</v>
      </c>
      <c r="AF18" s="75" t="e">
        <f t="shared" si="9"/>
        <v>#DIV/0!</v>
      </c>
      <c r="AG18" s="74" t="e">
        <f t="shared" si="9"/>
        <v>#DIV/0!</v>
      </c>
      <c r="AH18" s="76">
        <f t="shared" si="6"/>
        <v>-2.2222222222222285</v>
      </c>
      <c r="AI18" s="33">
        <f t="shared" si="6"/>
        <v>0</v>
      </c>
      <c r="AJ18" s="33">
        <f t="shared" si="6"/>
        <v>1.9607843137254832</v>
      </c>
      <c r="AK18" s="33">
        <f t="shared" si="6"/>
        <v>0</v>
      </c>
      <c r="AL18" s="75" t="e">
        <f t="shared" si="6"/>
        <v>#DIV/0!</v>
      </c>
      <c r="AM18" s="74" t="e">
        <f t="shared" si="6"/>
        <v>#DIV/0!</v>
      </c>
      <c r="AN18" s="75" t="e">
        <f t="shared" si="6"/>
        <v>#DIV/0!</v>
      </c>
      <c r="AO18" s="75" t="e">
        <f t="shared" si="6"/>
        <v>#DIV/0!</v>
      </c>
      <c r="AP18" s="77" t="e">
        <f t="shared" si="6"/>
        <v>#DIV/0!</v>
      </c>
    </row>
    <row r="19" spans="2:42" ht="23.25" customHeight="1">
      <c r="B19" s="7">
        <v>12</v>
      </c>
      <c r="C19" s="79" t="s">
        <v>74</v>
      </c>
      <c r="D19" s="69">
        <f t="shared" si="7"/>
        <v>50</v>
      </c>
      <c r="E19" s="70">
        <f>28-2</f>
        <v>26</v>
      </c>
      <c r="F19" s="70">
        <v>0</v>
      </c>
      <c r="G19" s="70">
        <f>21+2</f>
        <v>23</v>
      </c>
      <c r="H19" s="70">
        <v>1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1">
        <f t="shared" si="8"/>
        <v>52</v>
      </c>
      <c r="O19" s="70">
        <v>27</v>
      </c>
      <c r="P19" s="70">
        <v>0</v>
      </c>
      <c r="Q19" s="70">
        <v>24</v>
      </c>
      <c r="R19" s="70">
        <v>1</v>
      </c>
      <c r="S19" s="70">
        <v>0</v>
      </c>
      <c r="T19" s="70">
        <v>0</v>
      </c>
      <c r="U19" s="70"/>
      <c r="V19" s="70"/>
      <c r="W19" s="27"/>
      <c r="X19" s="50">
        <f t="shared" si="0"/>
        <v>104</v>
      </c>
      <c r="Y19" s="32">
        <f t="shared" si="1"/>
        <v>103.84615384615385</v>
      </c>
      <c r="Z19" s="80" t="e">
        <f t="shared" si="2"/>
        <v>#DIV/0!</v>
      </c>
      <c r="AA19" s="32">
        <f t="shared" si="3"/>
        <v>104.34782608695652</v>
      </c>
      <c r="AB19" s="32">
        <f t="shared" si="4"/>
        <v>100</v>
      </c>
      <c r="AC19" s="75" t="e">
        <f t="shared" si="5"/>
        <v>#DIV/0!</v>
      </c>
      <c r="AD19" s="74" t="e">
        <f t="shared" si="9"/>
        <v>#DIV/0!</v>
      </c>
      <c r="AE19" s="75" t="e">
        <f t="shared" si="9"/>
        <v>#DIV/0!</v>
      </c>
      <c r="AF19" s="75" t="e">
        <f t="shared" si="9"/>
        <v>#DIV/0!</v>
      </c>
      <c r="AG19" s="74" t="e">
        <f t="shared" si="9"/>
        <v>#DIV/0!</v>
      </c>
      <c r="AH19" s="76">
        <f t="shared" si="6"/>
        <v>3.846153846153854</v>
      </c>
      <c r="AI19" s="75" t="e">
        <f t="shared" si="6"/>
        <v>#DIV/0!</v>
      </c>
      <c r="AJ19" s="33">
        <f t="shared" si="6"/>
        <v>4.347826086956516</v>
      </c>
      <c r="AK19" s="33">
        <f t="shared" si="6"/>
        <v>0</v>
      </c>
      <c r="AL19" s="75" t="e">
        <f t="shared" si="6"/>
        <v>#DIV/0!</v>
      </c>
      <c r="AM19" s="74" t="e">
        <f t="shared" si="6"/>
        <v>#DIV/0!</v>
      </c>
      <c r="AN19" s="75" t="e">
        <f t="shared" si="6"/>
        <v>#DIV/0!</v>
      </c>
      <c r="AO19" s="75" t="e">
        <f t="shared" si="6"/>
        <v>#DIV/0!</v>
      </c>
      <c r="AP19" s="77" t="e">
        <f t="shared" si="6"/>
        <v>#DIV/0!</v>
      </c>
    </row>
    <row r="20" spans="2:42" ht="23.25" customHeight="1">
      <c r="B20" s="7">
        <v>13</v>
      </c>
      <c r="C20" s="79" t="s">
        <v>75</v>
      </c>
      <c r="D20" s="69">
        <f t="shared" si="7"/>
        <v>109</v>
      </c>
      <c r="E20" s="70">
        <v>42</v>
      </c>
      <c r="F20" s="70">
        <v>1</v>
      </c>
      <c r="G20" s="70">
        <v>60</v>
      </c>
      <c r="H20" s="70">
        <v>1</v>
      </c>
      <c r="I20" s="78">
        <v>5</v>
      </c>
      <c r="J20" s="78">
        <v>0</v>
      </c>
      <c r="K20" s="78">
        <v>0</v>
      </c>
      <c r="L20" s="78">
        <v>0</v>
      </c>
      <c r="M20" s="78">
        <v>0</v>
      </c>
      <c r="N20" s="71">
        <f t="shared" si="8"/>
        <v>108</v>
      </c>
      <c r="O20" s="70">
        <v>44</v>
      </c>
      <c r="P20" s="70">
        <v>1</v>
      </c>
      <c r="Q20" s="70">
        <v>57</v>
      </c>
      <c r="R20" s="70">
        <v>1</v>
      </c>
      <c r="S20" s="70">
        <v>5</v>
      </c>
      <c r="T20" s="70">
        <v>0</v>
      </c>
      <c r="U20" s="70"/>
      <c r="V20" s="70"/>
      <c r="W20" s="27"/>
      <c r="X20" s="50">
        <f t="shared" si="0"/>
        <v>99.08256880733946</v>
      </c>
      <c r="Y20" s="32">
        <f t="shared" si="1"/>
        <v>104.76190476190477</v>
      </c>
      <c r="Z20" s="32">
        <f t="shared" si="2"/>
        <v>100</v>
      </c>
      <c r="AA20" s="32">
        <f t="shared" si="3"/>
        <v>95</v>
      </c>
      <c r="AB20" s="32">
        <f t="shared" si="4"/>
        <v>100</v>
      </c>
      <c r="AC20" s="33">
        <f t="shared" si="5"/>
        <v>100</v>
      </c>
      <c r="AD20" s="74" t="e">
        <f t="shared" si="9"/>
        <v>#DIV/0!</v>
      </c>
      <c r="AE20" s="75" t="e">
        <f t="shared" si="9"/>
        <v>#DIV/0!</v>
      </c>
      <c r="AF20" s="75" t="e">
        <f t="shared" si="9"/>
        <v>#DIV/0!</v>
      </c>
      <c r="AG20" s="74" t="e">
        <f t="shared" si="9"/>
        <v>#DIV/0!</v>
      </c>
      <c r="AH20" s="76">
        <f t="shared" si="6"/>
        <v>4.761904761904773</v>
      </c>
      <c r="AI20" s="33">
        <f t="shared" si="6"/>
        <v>0</v>
      </c>
      <c r="AJ20" s="33">
        <f t="shared" si="6"/>
        <v>-5</v>
      </c>
      <c r="AK20" s="33">
        <f t="shared" si="6"/>
        <v>0</v>
      </c>
      <c r="AL20" s="33">
        <f t="shared" si="6"/>
        <v>0</v>
      </c>
      <c r="AM20" s="74" t="e">
        <f t="shared" si="6"/>
        <v>#DIV/0!</v>
      </c>
      <c r="AN20" s="75" t="e">
        <f t="shared" si="6"/>
        <v>#DIV/0!</v>
      </c>
      <c r="AO20" s="75" t="e">
        <f t="shared" si="6"/>
        <v>#DIV/0!</v>
      </c>
      <c r="AP20" s="77" t="e">
        <f t="shared" si="6"/>
        <v>#DIV/0!</v>
      </c>
    </row>
    <row r="21" spans="2:42" ht="23.25" customHeight="1">
      <c r="B21" s="7">
        <v>14</v>
      </c>
      <c r="C21" s="79" t="s">
        <v>76</v>
      </c>
      <c r="D21" s="69">
        <f t="shared" si="7"/>
        <v>134</v>
      </c>
      <c r="E21" s="70">
        <v>61</v>
      </c>
      <c r="F21" s="70">
        <v>0</v>
      </c>
      <c r="G21" s="70">
        <v>65</v>
      </c>
      <c r="H21" s="70">
        <v>0</v>
      </c>
      <c r="I21" s="78">
        <v>8</v>
      </c>
      <c r="J21" s="78">
        <v>0</v>
      </c>
      <c r="K21" s="78">
        <v>0</v>
      </c>
      <c r="L21" s="78">
        <v>0</v>
      </c>
      <c r="M21" s="78">
        <v>0</v>
      </c>
      <c r="N21" s="71">
        <f t="shared" si="8"/>
        <v>139</v>
      </c>
      <c r="O21" s="70">
        <v>61</v>
      </c>
      <c r="P21" s="70">
        <v>0</v>
      </c>
      <c r="Q21" s="70">
        <v>70</v>
      </c>
      <c r="R21" s="70">
        <v>0</v>
      </c>
      <c r="S21" s="70">
        <v>8</v>
      </c>
      <c r="T21" s="70">
        <v>0</v>
      </c>
      <c r="U21" s="70"/>
      <c r="V21" s="70"/>
      <c r="W21" s="27"/>
      <c r="X21" s="50">
        <f t="shared" si="0"/>
        <v>103.73134328358209</v>
      </c>
      <c r="Y21" s="32">
        <f t="shared" si="1"/>
        <v>100</v>
      </c>
      <c r="Z21" s="80" t="e">
        <f t="shared" si="2"/>
        <v>#DIV/0!</v>
      </c>
      <c r="AA21" s="32">
        <f t="shared" si="3"/>
        <v>107.6923076923077</v>
      </c>
      <c r="AB21" s="80" t="e">
        <f t="shared" si="4"/>
        <v>#DIV/0!</v>
      </c>
      <c r="AC21" s="33">
        <f t="shared" si="5"/>
        <v>100</v>
      </c>
      <c r="AD21" s="74" t="e">
        <f t="shared" si="9"/>
        <v>#DIV/0!</v>
      </c>
      <c r="AE21" s="75" t="e">
        <f t="shared" si="9"/>
        <v>#DIV/0!</v>
      </c>
      <c r="AF21" s="75" t="e">
        <f t="shared" si="9"/>
        <v>#DIV/0!</v>
      </c>
      <c r="AG21" s="74" t="e">
        <f t="shared" si="9"/>
        <v>#DIV/0!</v>
      </c>
      <c r="AH21" s="76">
        <f t="shared" si="6"/>
        <v>0</v>
      </c>
      <c r="AI21" s="75" t="e">
        <f t="shared" si="6"/>
        <v>#DIV/0!</v>
      </c>
      <c r="AJ21" s="33">
        <f t="shared" si="6"/>
        <v>7.692307692307693</v>
      </c>
      <c r="AK21" s="75" t="e">
        <f t="shared" si="6"/>
        <v>#DIV/0!</v>
      </c>
      <c r="AL21" s="33">
        <f t="shared" si="6"/>
        <v>0</v>
      </c>
      <c r="AM21" s="74" t="e">
        <f t="shared" si="6"/>
        <v>#DIV/0!</v>
      </c>
      <c r="AN21" s="75" t="e">
        <f t="shared" si="6"/>
        <v>#DIV/0!</v>
      </c>
      <c r="AO21" s="75" t="e">
        <f t="shared" si="6"/>
        <v>#DIV/0!</v>
      </c>
      <c r="AP21" s="77" t="e">
        <f t="shared" si="6"/>
        <v>#DIV/0!</v>
      </c>
    </row>
    <row r="22" spans="2:42" ht="23.25" customHeight="1">
      <c r="B22" s="7">
        <v>15</v>
      </c>
      <c r="C22" s="79" t="s">
        <v>77</v>
      </c>
      <c r="D22" s="69">
        <f t="shared" si="7"/>
        <v>150</v>
      </c>
      <c r="E22" s="70">
        <f>54+4</f>
        <v>58</v>
      </c>
      <c r="F22" s="70">
        <f>4-1</f>
        <v>3</v>
      </c>
      <c r="G22" s="70">
        <f>68-2</f>
        <v>66</v>
      </c>
      <c r="H22" s="70">
        <v>1</v>
      </c>
      <c r="I22" s="78">
        <f>19-1</f>
        <v>18</v>
      </c>
      <c r="J22" s="78">
        <v>1</v>
      </c>
      <c r="K22" s="78">
        <f>2</f>
        <v>2</v>
      </c>
      <c r="L22" s="78">
        <f>0+1</f>
        <v>1</v>
      </c>
      <c r="M22" s="78">
        <f>1-1</f>
        <v>0</v>
      </c>
      <c r="N22" s="71">
        <f t="shared" si="8"/>
        <v>150</v>
      </c>
      <c r="O22" s="70">
        <v>59</v>
      </c>
      <c r="P22" s="70">
        <v>3</v>
      </c>
      <c r="Q22" s="70">
        <v>66</v>
      </c>
      <c r="R22" s="70">
        <v>1</v>
      </c>
      <c r="S22" s="70">
        <v>17</v>
      </c>
      <c r="T22" s="70">
        <v>1</v>
      </c>
      <c r="U22" s="70">
        <v>2</v>
      </c>
      <c r="V22" s="70">
        <v>1</v>
      </c>
      <c r="W22" s="27"/>
      <c r="X22" s="50">
        <f t="shared" si="0"/>
        <v>100</v>
      </c>
      <c r="Y22" s="32">
        <f t="shared" si="1"/>
        <v>101.72413793103448</v>
      </c>
      <c r="Z22" s="32">
        <f t="shared" si="2"/>
        <v>100</v>
      </c>
      <c r="AA22" s="32">
        <f t="shared" si="3"/>
        <v>100</v>
      </c>
      <c r="AB22" s="32">
        <f t="shared" si="4"/>
        <v>100</v>
      </c>
      <c r="AC22" s="33">
        <f t="shared" si="5"/>
        <v>94.44444444444444</v>
      </c>
      <c r="AD22" s="83">
        <f t="shared" si="9"/>
        <v>100</v>
      </c>
      <c r="AE22" s="33">
        <f t="shared" si="9"/>
        <v>100</v>
      </c>
      <c r="AF22" s="75">
        <f t="shared" si="9"/>
        <v>100</v>
      </c>
      <c r="AG22" s="74" t="e">
        <f t="shared" si="9"/>
        <v>#DIV/0!</v>
      </c>
      <c r="AH22" s="76">
        <f t="shared" si="6"/>
        <v>1.7241379310344769</v>
      </c>
      <c r="AI22" s="33">
        <f t="shared" si="6"/>
        <v>0</v>
      </c>
      <c r="AJ22" s="33">
        <f t="shared" si="6"/>
        <v>0</v>
      </c>
      <c r="AK22" s="33">
        <f t="shared" si="6"/>
        <v>0</v>
      </c>
      <c r="AL22" s="33">
        <f t="shared" si="6"/>
        <v>-5.555555555555557</v>
      </c>
      <c r="AM22" s="83">
        <f t="shared" si="6"/>
        <v>0</v>
      </c>
      <c r="AN22" s="33">
        <f t="shared" si="6"/>
        <v>0</v>
      </c>
      <c r="AO22" s="75">
        <f t="shared" si="6"/>
        <v>0</v>
      </c>
      <c r="AP22" s="77" t="e">
        <f t="shared" si="6"/>
        <v>#DIV/0!</v>
      </c>
    </row>
    <row r="23" spans="2:42" ht="23.25" customHeight="1">
      <c r="B23" s="7">
        <v>16</v>
      </c>
      <c r="C23" s="79" t="s">
        <v>78</v>
      </c>
      <c r="D23" s="69">
        <f t="shared" si="7"/>
        <v>134</v>
      </c>
      <c r="E23" s="70">
        <f>55+2</f>
        <v>57</v>
      </c>
      <c r="F23" s="70">
        <f>6-1</f>
        <v>5</v>
      </c>
      <c r="G23" s="70">
        <v>60</v>
      </c>
      <c r="H23" s="70">
        <f>1+1</f>
        <v>2</v>
      </c>
      <c r="I23" s="78">
        <f>10-2</f>
        <v>8</v>
      </c>
      <c r="J23" s="78">
        <v>0</v>
      </c>
      <c r="K23" s="78">
        <v>0</v>
      </c>
      <c r="L23" s="78">
        <v>2</v>
      </c>
      <c r="M23" s="78">
        <v>0</v>
      </c>
      <c r="N23" s="71">
        <f t="shared" si="8"/>
        <v>140</v>
      </c>
      <c r="O23" s="70">
        <v>60</v>
      </c>
      <c r="P23" s="70">
        <v>5</v>
      </c>
      <c r="Q23" s="70">
        <f>64-1</f>
        <v>63</v>
      </c>
      <c r="R23" s="70">
        <v>2</v>
      </c>
      <c r="S23" s="70">
        <v>8</v>
      </c>
      <c r="T23" s="70">
        <v>0</v>
      </c>
      <c r="U23" s="70">
        <v>0</v>
      </c>
      <c r="V23" s="70">
        <f>1+1</f>
        <v>2</v>
      </c>
      <c r="W23" s="27"/>
      <c r="X23" s="50">
        <f t="shared" si="0"/>
        <v>104.4776119402985</v>
      </c>
      <c r="Y23" s="32">
        <f t="shared" si="1"/>
        <v>105.26315789473684</v>
      </c>
      <c r="Z23" s="32">
        <f t="shared" si="2"/>
        <v>100</v>
      </c>
      <c r="AA23" s="32">
        <f t="shared" si="3"/>
        <v>105</v>
      </c>
      <c r="AB23" s="32">
        <f t="shared" si="4"/>
        <v>100</v>
      </c>
      <c r="AC23" s="33">
        <f t="shared" si="5"/>
        <v>100</v>
      </c>
      <c r="AD23" s="74" t="e">
        <f t="shared" si="9"/>
        <v>#DIV/0!</v>
      </c>
      <c r="AE23" s="75" t="e">
        <f t="shared" si="9"/>
        <v>#DIV/0!</v>
      </c>
      <c r="AF23" s="33">
        <f t="shared" si="9"/>
        <v>100</v>
      </c>
      <c r="AG23" s="74" t="e">
        <f t="shared" si="9"/>
        <v>#DIV/0!</v>
      </c>
      <c r="AH23" s="76">
        <f t="shared" si="6"/>
        <v>5.263157894736835</v>
      </c>
      <c r="AI23" s="33">
        <f t="shared" si="6"/>
        <v>0</v>
      </c>
      <c r="AJ23" s="33">
        <f t="shared" si="6"/>
        <v>5</v>
      </c>
      <c r="AK23" s="33">
        <f t="shared" si="6"/>
        <v>0</v>
      </c>
      <c r="AL23" s="33">
        <f t="shared" si="6"/>
        <v>0</v>
      </c>
      <c r="AM23" s="74" t="e">
        <f t="shared" si="6"/>
        <v>#DIV/0!</v>
      </c>
      <c r="AN23" s="75" t="e">
        <f t="shared" si="6"/>
        <v>#DIV/0!</v>
      </c>
      <c r="AO23" s="33">
        <f t="shared" si="6"/>
        <v>0</v>
      </c>
      <c r="AP23" s="77" t="e">
        <f t="shared" si="6"/>
        <v>#DIV/0!</v>
      </c>
    </row>
    <row r="24" spans="2:42" s="52" customFormat="1" ht="23.25" customHeight="1" thickBot="1">
      <c r="B24" s="51"/>
      <c r="C24" s="84" t="s">
        <v>26</v>
      </c>
      <c r="D24" s="85">
        <f t="shared" si="7"/>
        <v>3845</v>
      </c>
      <c r="E24" s="86">
        <f>SUM(E8:E23)</f>
        <v>1669</v>
      </c>
      <c r="F24" s="86">
        <f aca="true" t="shared" si="10" ref="F24:W24">SUM(F8:F23)</f>
        <v>43</v>
      </c>
      <c r="G24" s="86">
        <f t="shared" si="10"/>
        <v>1811</v>
      </c>
      <c r="H24" s="86">
        <f t="shared" si="10"/>
        <v>25</v>
      </c>
      <c r="I24" s="86">
        <f t="shared" si="10"/>
        <v>282</v>
      </c>
      <c r="J24" s="86">
        <f>SUM(J8:J23)</f>
        <v>1</v>
      </c>
      <c r="K24" s="86">
        <f>SUM(K8:K23)</f>
        <v>9</v>
      </c>
      <c r="L24" s="86">
        <f>SUM(L8:L23)</f>
        <v>5</v>
      </c>
      <c r="M24" s="86">
        <f>SUM(M8:M23)</f>
        <v>0</v>
      </c>
      <c r="N24" s="85">
        <f>SUM(O24:W24)</f>
        <v>3889</v>
      </c>
      <c r="O24" s="86">
        <f>SUM(O8:O23)</f>
        <v>1676</v>
      </c>
      <c r="P24" s="86">
        <f t="shared" si="10"/>
        <v>43</v>
      </c>
      <c r="Q24" s="86">
        <f t="shared" si="10"/>
        <v>1860</v>
      </c>
      <c r="R24" s="86">
        <f t="shared" si="10"/>
        <v>25</v>
      </c>
      <c r="S24" s="86">
        <f t="shared" si="10"/>
        <v>270</v>
      </c>
      <c r="T24" s="86">
        <f t="shared" si="10"/>
        <v>1</v>
      </c>
      <c r="U24" s="86">
        <f t="shared" si="10"/>
        <v>9</v>
      </c>
      <c r="V24" s="86">
        <f t="shared" si="10"/>
        <v>5</v>
      </c>
      <c r="W24" s="86">
        <f t="shared" si="10"/>
        <v>0</v>
      </c>
      <c r="X24" s="87">
        <f t="shared" si="0"/>
        <v>101.14434330299089</v>
      </c>
      <c r="Y24" s="88">
        <f t="shared" si="1"/>
        <v>100.41941282204914</v>
      </c>
      <c r="Z24" s="88">
        <f t="shared" si="2"/>
        <v>100</v>
      </c>
      <c r="AA24" s="88">
        <f t="shared" si="3"/>
        <v>102.70568746548867</v>
      </c>
      <c r="AB24" s="88">
        <f t="shared" si="4"/>
        <v>100</v>
      </c>
      <c r="AC24" s="89">
        <f t="shared" si="5"/>
        <v>95.74468085106383</v>
      </c>
      <c r="AD24" s="90">
        <f t="shared" si="9"/>
        <v>100</v>
      </c>
      <c r="AE24" s="89">
        <f t="shared" si="9"/>
        <v>100</v>
      </c>
      <c r="AF24" s="89">
        <f t="shared" si="9"/>
        <v>100</v>
      </c>
      <c r="AG24" s="90" t="e">
        <f t="shared" si="9"/>
        <v>#DIV/0!</v>
      </c>
      <c r="AH24" s="91">
        <f t="shared" si="6"/>
        <v>0.4194128220491393</v>
      </c>
      <c r="AI24" s="92">
        <f t="shared" si="6"/>
        <v>0</v>
      </c>
      <c r="AJ24" s="92">
        <f t="shared" si="6"/>
        <v>2.7056874654886656</v>
      </c>
      <c r="AK24" s="92">
        <f t="shared" si="6"/>
        <v>0</v>
      </c>
      <c r="AL24" s="92">
        <f t="shared" si="6"/>
        <v>-4.255319148936167</v>
      </c>
      <c r="AM24" s="93">
        <f t="shared" si="6"/>
        <v>0</v>
      </c>
      <c r="AN24" s="92">
        <f t="shared" si="6"/>
        <v>0</v>
      </c>
      <c r="AO24" s="92">
        <f t="shared" si="6"/>
        <v>0</v>
      </c>
      <c r="AP24" s="94" t="e">
        <f t="shared" si="6"/>
        <v>#DIV/0!</v>
      </c>
    </row>
    <row r="26" ht="15">
      <c r="B26" s="1" t="s">
        <v>27</v>
      </c>
    </row>
    <row r="27" spans="2:19" ht="15">
      <c r="B27" s="1" t="s">
        <v>28</v>
      </c>
      <c r="S27" s="1" t="s">
        <v>29</v>
      </c>
    </row>
    <row r="28" spans="2:19" ht="15">
      <c r="B28" s="1" t="s">
        <v>30</v>
      </c>
      <c r="S28" s="1" t="s">
        <v>31</v>
      </c>
    </row>
    <row r="30" ht="15">
      <c r="N30" s="95">
        <f>O24+P24+Q24+R24+S24+T24+U24+V24+W24</f>
        <v>3889</v>
      </c>
    </row>
    <row r="32" ht="15">
      <c r="O32" s="95"/>
    </row>
  </sheetData>
  <sheetProtection/>
  <mergeCells count="26">
    <mergeCell ref="AC5:AD6"/>
    <mergeCell ref="AE5:AG5"/>
    <mergeCell ref="AH5:AI6"/>
    <mergeCell ref="AJ5:AK6"/>
    <mergeCell ref="AL5:AM6"/>
    <mergeCell ref="AN5:AP5"/>
    <mergeCell ref="AH4:AP4"/>
    <mergeCell ref="D5:D6"/>
    <mergeCell ref="E5:F6"/>
    <mergeCell ref="G5:H6"/>
    <mergeCell ref="I5:J6"/>
    <mergeCell ref="K5:M5"/>
    <mergeCell ref="N5:N6"/>
    <mergeCell ref="O5:P6"/>
    <mergeCell ref="Q5:R6"/>
    <mergeCell ref="S5:T6"/>
    <mergeCell ref="D2:T2"/>
    <mergeCell ref="B4:B6"/>
    <mergeCell ref="C4:C6"/>
    <mergeCell ref="D4:J4"/>
    <mergeCell ref="N4:W4"/>
    <mergeCell ref="X4:AG4"/>
    <mergeCell ref="U5:W5"/>
    <mergeCell ref="X5:X6"/>
    <mergeCell ref="Y5:Z6"/>
    <mergeCell ref="AA5:AB6"/>
  </mergeCells>
  <printOptions/>
  <pageMargins left="0.1968503937007874" right="0.1968503937007874" top="0.1968503937007874" bottom="0.1968503937007874" header="0.11811023622047245" footer="0.11811023622047245"/>
  <pageSetup fitToWidth="0" fitToHeight="1" horizontalDpi="600" verticalDpi="600" orientation="landscape" paperSize="9" scale="73" r:id="rId1"/>
  <colBreaks count="1" manualBreakCount="1">
    <brk id="20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63AEA"/>
  </sheetPr>
  <dimension ref="A2:N40"/>
  <sheetViews>
    <sheetView tabSelected="1" view="pageBreakPreview" zoomScale="90" zoomScaleSheetLayoutView="9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" sqref="N4"/>
    </sheetView>
  </sheetViews>
  <sheetFormatPr defaultColWidth="9.00390625" defaultRowHeight="12.75"/>
  <cols>
    <col min="1" max="1" width="5.00390625" style="1" customWidth="1"/>
    <col min="2" max="2" width="4.00390625" style="1" customWidth="1"/>
    <col min="3" max="3" width="31.375" style="1" customWidth="1"/>
    <col min="4" max="4" width="19.375" style="1" customWidth="1"/>
    <col min="5" max="5" width="13.00390625" style="1" customWidth="1"/>
    <col min="6" max="6" width="24.75390625" style="1" customWidth="1"/>
    <col min="7" max="7" width="11.875" style="1" customWidth="1"/>
    <col min="8" max="8" width="19.375" style="1" customWidth="1"/>
    <col min="9" max="9" width="10.625" style="1" customWidth="1"/>
    <col min="10" max="10" width="18.50390625" style="1" customWidth="1"/>
    <col min="11" max="11" width="17.50390625" style="1" customWidth="1"/>
    <col min="12" max="12" width="8.875" style="1" customWidth="1"/>
    <col min="13" max="13" width="2.125" style="42" customWidth="1"/>
    <col min="14" max="14" width="8.875" style="171" customWidth="1"/>
    <col min="15" max="16384" width="8.875" style="1" customWidth="1"/>
  </cols>
  <sheetData>
    <row r="1" ht="8.25" customHeight="1"/>
    <row r="2" spans="2:13" ht="34.5" customHeight="1">
      <c r="B2" s="152" t="s">
        <v>89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74"/>
    </row>
    <row r="3" spans="2:13" ht="51" customHeight="1">
      <c r="B3" s="123" t="s">
        <v>0</v>
      </c>
      <c r="C3" s="124" t="s">
        <v>1</v>
      </c>
      <c r="D3" s="135" t="s">
        <v>90</v>
      </c>
      <c r="E3" s="135"/>
      <c r="F3" s="153" t="s">
        <v>91</v>
      </c>
      <c r="G3" s="153"/>
      <c r="H3" s="135" t="s">
        <v>46</v>
      </c>
      <c r="I3" s="135"/>
      <c r="J3" s="154" t="s">
        <v>47</v>
      </c>
      <c r="K3" s="156" t="s">
        <v>48</v>
      </c>
      <c r="L3" s="156"/>
      <c r="M3" s="175"/>
    </row>
    <row r="4" spans="2:13" ht="79.5" customHeight="1">
      <c r="B4" s="123"/>
      <c r="C4" s="124"/>
      <c r="D4" s="9" t="s">
        <v>32</v>
      </c>
      <c r="E4" s="10" t="s">
        <v>36</v>
      </c>
      <c r="F4" s="20" t="s">
        <v>32</v>
      </c>
      <c r="G4" s="21" t="s">
        <v>36</v>
      </c>
      <c r="H4" s="9" t="s">
        <v>32</v>
      </c>
      <c r="I4" s="10" t="s">
        <v>36</v>
      </c>
      <c r="J4" s="155"/>
      <c r="K4" s="19" t="s">
        <v>32</v>
      </c>
      <c r="L4" s="180" t="s">
        <v>36</v>
      </c>
      <c r="M4" s="176"/>
    </row>
    <row r="5" spans="2:13" ht="19.5" customHeight="1">
      <c r="B5" s="5">
        <v>1</v>
      </c>
      <c r="C5" s="17" t="s">
        <v>3</v>
      </c>
      <c r="D5" s="22">
        <v>16</v>
      </c>
      <c r="E5" s="22">
        <f>D5</f>
        <v>16</v>
      </c>
      <c r="F5" s="96">
        <v>16</v>
      </c>
      <c r="G5" s="97">
        <v>16</v>
      </c>
      <c r="H5" s="11">
        <f>F5/D5*100</f>
        <v>100</v>
      </c>
      <c r="I5" s="6">
        <f>G5/E5*100</f>
        <v>100</v>
      </c>
      <c r="J5" s="23">
        <v>20</v>
      </c>
      <c r="K5" s="15">
        <f>100-H5</f>
        <v>0</v>
      </c>
      <c r="L5" s="6">
        <f>100-I5</f>
        <v>0</v>
      </c>
      <c r="M5" s="47"/>
    </row>
    <row r="6" spans="2:13" ht="18" customHeight="1">
      <c r="B6" s="53">
        <v>2</v>
      </c>
      <c r="C6" s="17" t="s">
        <v>4</v>
      </c>
      <c r="D6" s="73">
        <v>24</v>
      </c>
      <c r="E6" s="73">
        <v>24</v>
      </c>
      <c r="F6" s="98">
        <v>28</v>
      </c>
      <c r="G6" s="97">
        <f aca="true" t="shared" si="0" ref="G6:G18">F6</f>
        <v>28</v>
      </c>
      <c r="H6" s="11">
        <f aca="true" t="shared" si="1" ref="H6:I21">F6/D6*100</f>
        <v>116.66666666666667</v>
      </c>
      <c r="I6" s="6">
        <f t="shared" si="1"/>
        <v>116.66666666666667</v>
      </c>
      <c r="J6" s="23">
        <v>20</v>
      </c>
      <c r="K6" s="15">
        <f>100-H6</f>
        <v>-16.66666666666667</v>
      </c>
      <c r="L6" s="6">
        <f aca="true" t="shared" si="2" ref="K6:L21">100-I6</f>
        <v>-16.66666666666667</v>
      </c>
      <c r="M6" s="47"/>
    </row>
    <row r="7" spans="2:13" ht="15">
      <c r="B7" s="7">
        <v>3</v>
      </c>
      <c r="C7" s="16" t="s">
        <v>5</v>
      </c>
      <c r="D7" s="25">
        <v>37</v>
      </c>
      <c r="E7" s="22">
        <f aca="true" t="shared" si="3" ref="E7:E34">D7</f>
        <v>37</v>
      </c>
      <c r="F7" s="99">
        <v>34</v>
      </c>
      <c r="G7" s="99">
        <f t="shared" si="0"/>
        <v>34</v>
      </c>
      <c r="H7" s="11">
        <f t="shared" si="1"/>
        <v>91.8918918918919</v>
      </c>
      <c r="I7" s="6">
        <f t="shared" si="1"/>
        <v>91.8918918918919</v>
      </c>
      <c r="J7" s="23">
        <v>20</v>
      </c>
      <c r="K7" s="15">
        <f t="shared" si="2"/>
        <v>8.108108108108098</v>
      </c>
      <c r="L7" s="6">
        <f t="shared" si="2"/>
        <v>8.108108108108098</v>
      </c>
      <c r="M7" s="47"/>
    </row>
    <row r="8" spans="2:13" ht="15">
      <c r="B8" s="7">
        <v>4</v>
      </c>
      <c r="C8" s="16" t="s">
        <v>6</v>
      </c>
      <c r="D8" s="26">
        <v>28</v>
      </c>
      <c r="E8" s="22">
        <f t="shared" si="3"/>
        <v>28</v>
      </c>
      <c r="F8" s="99">
        <v>24</v>
      </c>
      <c r="G8" s="99">
        <f t="shared" si="0"/>
        <v>24</v>
      </c>
      <c r="H8" s="11">
        <f t="shared" si="1"/>
        <v>85.71428571428571</v>
      </c>
      <c r="I8" s="6">
        <f t="shared" si="1"/>
        <v>85.71428571428571</v>
      </c>
      <c r="J8" s="23">
        <v>20</v>
      </c>
      <c r="K8" s="15">
        <f t="shared" si="2"/>
        <v>14.285714285714292</v>
      </c>
      <c r="L8" s="15">
        <f t="shared" si="2"/>
        <v>14.285714285714292</v>
      </c>
      <c r="M8" s="177"/>
    </row>
    <row r="9" spans="2:14" ht="15">
      <c r="B9" s="7">
        <v>5</v>
      </c>
      <c r="C9" s="16" t="s">
        <v>7</v>
      </c>
      <c r="D9" s="26">
        <f>19</f>
        <v>19</v>
      </c>
      <c r="E9" s="22">
        <f t="shared" si="3"/>
        <v>19</v>
      </c>
      <c r="F9" s="100">
        <f>15+1</f>
        <v>16</v>
      </c>
      <c r="G9" s="100">
        <f t="shared" si="0"/>
        <v>16</v>
      </c>
      <c r="H9" s="11">
        <f t="shared" si="1"/>
        <v>84.21052631578947</v>
      </c>
      <c r="I9" s="6">
        <f t="shared" si="1"/>
        <v>84.21052631578947</v>
      </c>
      <c r="J9" s="23">
        <v>20</v>
      </c>
      <c r="K9" s="33">
        <f t="shared" si="2"/>
        <v>15.789473684210535</v>
      </c>
      <c r="L9" s="33">
        <f t="shared" si="2"/>
        <v>15.789473684210535</v>
      </c>
      <c r="M9" s="178"/>
      <c r="N9" s="171">
        <v>-1</v>
      </c>
    </row>
    <row r="10" spans="2:14" ht="15">
      <c r="B10" s="7">
        <v>6</v>
      </c>
      <c r="C10" s="16" t="s">
        <v>8</v>
      </c>
      <c r="D10" s="26">
        <f>6</f>
        <v>6</v>
      </c>
      <c r="E10" s="22">
        <f t="shared" si="3"/>
        <v>6</v>
      </c>
      <c r="F10" s="100">
        <f>9-2</f>
        <v>7</v>
      </c>
      <c r="G10" s="100">
        <f>F10</f>
        <v>7</v>
      </c>
      <c r="H10" s="11">
        <f t="shared" si="1"/>
        <v>116.66666666666667</v>
      </c>
      <c r="I10" s="6">
        <f t="shared" si="1"/>
        <v>116.66666666666667</v>
      </c>
      <c r="J10" s="23">
        <v>20</v>
      </c>
      <c r="K10" s="33">
        <f t="shared" si="2"/>
        <v>-16.66666666666667</v>
      </c>
      <c r="L10" s="33">
        <f t="shared" si="2"/>
        <v>-16.66666666666667</v>
      </c>
      <c r="M10" s="178"/>
      <c r="N10" s="171">
        <v>3</v>
      </c>
    </row>
    <row r="11" spans="2:13" ht="15">
      <c r="B11" s="157">
        <v>7</v>
      </c>
      <c r="C11" s="16" t="s">
        <v>9</v>
      </c>
      <c r="D11" s="26">
        <v>72</v>
      </c>
      <c r="E11" s="22">
        <f>D11</f>
        <v>72</v>
      </c>
      <c r="F11" s="100">
        <f>47+18</f>
        <v>65</v>
      </c>
      <c r="G11" s="100">
        <f t="shared" si="0"/>
        <v>65</v>
      </c>
      <c r="H11" s="11">
        <f t="shared" si="1"/>
        <v>90.27777777777779</v>
      </c>
      <c r="I11" s="6">
        <f t="shared" si="1"/>
        <v>90.27777777777779</v>
      </c>
      <c r="J11" s="16">
        <v>10</v>
      </c>
      <c r="K11" s="33">
        <f t="shared" si="2"/>
        <v>9.722222222222214</v>
      </c>
      <c r="L11" s="33">
        <f t="shared" si="2"/>
        <v>9.722222222222214</v>
      </c>
      <c r="M11" s="178"/>
    </row>
    <row r="12" spans="2:14" ht="15">
      <c r="B12" s="158"/>
      <c r="C12" s="101" t="s">
        <v>37</v>
      </c>
      <c r="D12" s="102">
        <f>18</f>
        <v>18</v>
      </c>
      <c r="E12" s="103">
        <f>D12</f>
        <v>18</v>
      </c>
      <c r="F12" s="104">
        <f>26-9</f>
        <v>17</v>
      </c>
      <c r="G12" s="104">
        <f t="shared" si="0"/>
        <v>17</v>
      </c>
      <c r="H12" s="105">
        <f t="shared" si="1"/>
        <v>94.44444444444444</v>
      </c>
      <c r="I12" s="106">
        <f t="shared" si="1"/>
        <v>94.44444444444444</v>
      </c>
      <c r="J12" s="107">
        <v>10</v>
      </c>
      <c r="K12" s="33">
        <f t="shared" si="2"/>
        <v>5.555555555555557</v>
      </c>
      <c r="L12" s="33">
        <f t="shared" si="2"/>
        <v>5.555555555555557</v>
      </c>
      <c r="M12" s="178"/>
      <c r="N12" s="171">
        <v>6</v>
      </c>
    </row>
    <row r="13" spans="2:13" ht="15" customHeight="1">
      <c r="B13" s="7">
        <v>8</v>
      </c>
      <c r="C13" s="16" t="s">
        <v>10</v>
      </c>
      <c r="D13" s="26">
        <v>29</v>
      </c>
      <c r="E13" s="22">
        <f t="shared" si="3"/>
        <v>29</v>
      </c>
      <c r="F13" s="100">
        <f>24+3</f>
        <v>27</v>
      </c>
      <c r="G13" s="100">
        <f t="shared" si="0"/>
        <v>27</v>
      </c>
      <c r="H13" s="11">
        <f t="shared" si="1"/>
        <v>93.10344827586206</v>
      </c>
      <c r="I13" s="6">
        <f t="shared" si="1"/>
        <v>93.10344827586206</v>
      </c>
      <c r="J13" s="7">
        <v>10</v>
      </c>
      <c r="K13" s="33">
        <f t="shared" si="2"/>
        <v>6.896551724137936</v>
      </c>
      <c r="L13" s="33">
        <f t="shared" si="2"/>
        <v>6.896551724137936</v>
      </c>
      <c r="M13" s="178"/>
    </row>
    <row r="14" spans="2:13" ht="14.25" customHeight="1">
      <c r="B14" s="7">
        <v>9</v>
      </c>
      <c r="C14" s="16" t="s">
        <v>11</v>
      </c>
      <c r="D14" s="26">
        <v>101</v>
      </c>
      <c r="E14" s="22">
        <f t="shared" si="3"/>
        <v>101</v>
      </c>
      <c r="F14" s="100">
        <f>81+10</f>
        <v>91</v>
      </c>
      <c r="G14" s="100">
        <f t="shared" si="0"/>
        <v>91</v>
      </c>
      <c r="H14" s="11">
        <f t="shared" si="1"/>
        <v>90.0990099009901</v>
      </c>
      <c r="I14" s="6">
        <f t="shared" si="1"/>
        <v>90.0990099009901</v>
      </c>
      <c r="J14" s="16">
        <v>10</v>
      </c>
      <c r="K14" s="33">
        <f t="shared" si="2"/>
        <v>9.900990099009903</v>
      </c>
      <c r="L14" s="33">
        <f t="shared" si="2"/>
        <v>9.900990099009903</v>
      </c>
      <c r="M14" s="178"/>
    </row>
    <row r="15" spans="2:13" ht="15">
      <c r="B15" s="7">
        <v>10</v>
      </c>
      <c r="C15" s="16" t="s">
        <v>12</v>
      </c>
      <c r="D15" s="26">
        <v>24</v>
      </c>
      <c r="E15" s="22">
        <f t="shared" si="3"/>
        <v>24</v>
      </c>
      <c r="F15" s="99">
        <v>20</v>
      </c>
      <c r="G15" s="99">
        <f t="shared" si="0"/>
        <v>20</v>
      </c>
      <c r="H15" s="11">
        <f t="shared" si="1"/>
        <v>83.33333333333334</v>
      </c>
      <c r="I15" s="6">
        <f t="shared" si="1"/>
        <v>83.33333333333334</v>
      </c>
      <c r="J15" s="23">
        <v>20</v>
      </c>
      <c r="K15" s="15">
        <f t="shared" si="2"/>
        <v>16.666666666666657</v>
      </c>
      <c r="L15" s="6">
        <f t="shared" si="2"/>
        <v>16.666666666666657</v>
      </c>
      <c r="M15" s="47"/>
    </row>
    <row r="16" spans="2:13" ht="15">
      <c r="B16" s="7">
        <v>11</v>
      </c>
      <c r="C16" s="16" t="s">
        <v>13</v>
      </c>
      <c r="D16" s="25">
        <v>13</v>
      </c>
      <c r="E16" s="24">
        <f t="shared" si="3"/>
        <v>13</v>
      </c>
      <c r="F16" s="100">
        <f>10+1</f>
        <v>11</v>
      </c>
      <c r="G16" s="100">
        <f t="shared" si="0"/>
        <v>11</v>
      </c>
      <c r="H16" s="11">
        <f t="shared" si="1"/>
        <v>84.61538461538461</v>
      </c>
      <c r="I16" s="6">
        <f t="shared" si="1"/>
        <v>84.61538461538461</v>
      </c>
      <c r="J16" s="23">
        <v>20</v>
      </c>
      <c r="K16" s="33">
        <f t="shared" si="2"/>
        <v>15.384615384615387</v>
      </c>
      <c r="L16" s="33">
        <f t="shared" si="2"/>
        <v>15.384615384615387</v>
      </c>
      <c r="M16" s="178"/>
    </row>
    <row r="17" spans="2:14" ht="15">
      <c r="B17" s="7">
        <v>12</v>
      </c>
      <c r="C17" s="16" t="s">
        <v>14</v>
      </c>
      <c r="D17" s="25">
        <v>19</v>
      </c>
      <c r="E17" s="24">
        <f>D17</f>
        <v>19</v>
      </c>
      <c r="F17" s="100">
        <f>13+3</f>
        <v>16</v>
      </c>
      <c r="G17" s="100">
        <f t="shared" si="0"/>
        <v>16</v>
      </c>
      <c r="H17" s="11">
        <f t="shared" si="1"/>
        <v>84.21052631578947</v>
      </c>
      <c r="I17" s="6">
        <f t="shared" si="1"/>
        <v>84.21052631578947</v>
      </c>
      <c r="J17" s="23">
        <v>20</v>
      </c>
      <c r="K17" s="33">
        <f t="shared" si="2"/>
        <v>15.789473684210535</v>
      </c>
      <c r="L17" s="33">
        <f t="shared" si="2"/>
        <v>15.789473684210535</v>
      </c>
      <c r="M17" s="178"/>
      <c r="N17" s="171">
        <v>-1</v>
      </c>
    </row>
    <row r="18" spans="2:13" ht="15">
      <c r="B18" s="7">
        <v>13</v>
      </c>
      <c r="C18" s="16" t="s">
        <v>15</v>
      </c>
      <c r="D18" s="25">
        <v>20</v>
      </c>
      <c r="E18" s="24">
        <f t="shared" si="3"/>
        <v>20</v>
      </c>
      <c r="F18" s="99">
        <v>17</v>
      </c>
      <c r="G18" s="99">
        <f t="shared" si="0"/>
        <v>17</v>
      </c>
      <c r="H18" s="11">
        <f t="shared" si="1"/>
        <v>85</v>
      </c>
      <c r="I18" s="6">
        <f t="shared" si="1"/>
        <v>85</v>
      </c>
      <c r="J18" s="23">
        <v>20</v>
      </c>
      <c r="K18" s="15">
        <f t="shared" si="2"/>
        <v>15</v>
      </c>
      <c r="L18" s="6">
        <f t="shared" si="2"/>
        <v>15</v>
      </c>
      <c r="M18" s="47"/>
    </row>
    <row r="19" spans="2:13" ht="15">
      <c r="B19" s="7">
        <v>14</v>
      </c>
      <c r="C19" s="16" t="s">
        <v>16</v>
      </c>
      <c r="D19" s="25">
        <v>23</v>
      </c>
      <c r="E19" s="24">
        <f t="shared" si="3"/>
        <v>23</v>
      </c>
      <c r="F19" s="100">
        <f>17+2</f>
        <v>19</v>
      </c>
      <c r="G19" s="100">
        <f>F19</f>
        <v>19</v>
      </c>
      <c r="H19" s="11">
        <f t="shared" si="1"/>
        <v>82.6086956521739</v>
      </c>
      <c r="I19" s="6">
        <f t="shared" si="1"/>
        <v>82.6086956521739</v>
      </c>
      <c r="J19" s="23">
        <v>20</v>
      </c>
      <c r="K19" s="33">
        <f t="shared" si="2"/>
        <v>17.391304347826093</v>
      </c>
      <c r="L19" s="33">
        <f t="shared" si="2"/>
        <v>17.391304347826093</v>
      </c>
      <c r="M19" s="178"/>
    </row>
    <row r="20" spans="2:14" ht="15">
      <c r="B20" s="7">
        <v>15</v>
      </c>
      <c r="C20" s="16" t="s">
        <v>17</v>
      </c>
      <c r="D20" s="25">
        <v>19</v>
      </c>
      <c r="E20" s="24">
        <f t="shared" si="3"/>
        <v>19</v>
      </c>
      <c r="F20" s="100">
        <f>14+2</f>
        <v>16</v>
      </c>
      <c r="G20" s="100">
        <f>F20</f>
        <v>16</v>
      </c>
      <c r="H20" s="11">
        <f t="shared" si="1"/>
        <v>84.21052631578947</v>
      </c>
      <c r="I20" s="6">
        <f t="shared" si="1"/>
        <v>84.21052631578947</v>
      </c>
      <c r="J20" s="23">
        <v>20</v>
      </c>
      <c r="K20" s="33">
        <f t="shared" si="2"/>
        <v>15.789473684210535</v>
      </c>
      <c r="L20" s="33">
        <f t="shared" si="2"/>
        <v>15.789473684210535</v>
      </c>
      <c r="M20" s="178"/>
      <c r="N20" s="171">
        <v>-2</v>
      </c>
    </row>
    <row r="21" spans="2:13" ht="15">
      <c r="B21" s="7">
        <v>16</v>
      </c>
      <c r="C21" s="16" t="s">
        <v>18</v>
      </c>
      <c r="D21" s="25">
        <v>30</v>
      </c>
      <c r="E21" s="24">
        <f t="shared" si="3"/>
        <v>30</v>
      </c>
      <c r="F21" s="99">
        <v>25</v>
      </c>
      <c r="G21" s="99">
        <f>F21</f>
        <v>25</v>
      </c>
      <c r="H21" s="11">
        <f t="shared" si="1"/>
        <v>83.33333333333334</v>
      </c>
      <c r="I21" s="6">
        <f t="shared" si="1"/>
        <v>83.33333333333334</v>
      </c>
      <c r="J21" s="23">
        <v>20</v>
      </c>
      <c r="K21" s="15">
        <f t="shared" si="2"/>
        <v>16.666666666666657</v>
      </c>
      <c r="L21" s="6">
        <f t="shared" si="2"/>
        <v>16.666666666666657</v>
      </c>
      <c r="M21" s="47"/>
    </row>
    <row r="22" spans="2:13" ht="15">
      <c r="B22" s="7">
        <v>17</v>
      </c>
      <c r="C22" s="16" t="s">
        <v>19</v>
      </c>
      <c r="D22" s="25">
        <v>171</v>
      </c>
      <c r="E22" s="24">
        <f>171-2</f>
        <v>169</v>
      </c>
      <c r="F22" s="99">
        <v>171</v>
      </c>
      <c r="G22" s="99">
        <v>166</v>
      </c>
      <c r="H22" s="14">
        <f>F22/D22*100</f>
        <v>100</v>
      </c>
      <c r="I22" s="15">
        <f>G22/E22*100</f>
        <v>98.22485207100591</v>
      </c>
      <c r="J22" s="16">
        <v>10</v>
      </c>
      <c r="K22" s="15">
        <f aca="true" t="shared" si="4" ref="K22:L33">100-H22</f>
        <v>0</v>
      </c>
      <c r="L22" s="6">
        <f t="shared" si="4"/>
        <v>1.7751479289940875</v>
      </c>
      <c r="M22" s="47"/>
    </row>
    <row r="23" spans="2:13" ht="21" customHeight="1">
      <c r="B23" s="159">
        <v>18</v>
      </c>
      <c r="C23" s="18" t="s">
        <v>49</v>
      </c>
      <c r="D23" s="27">
        <f>150</f>
        <v>150</v>
      </c>
      <c r="E23" s="24">
        <v>149</v>
      </c>
      <c r="F23" s="100">
        <f>128+7</f>
        <v>135</v>
      </c>
      <c r="G23" s="100">
        <f>127+7</f>
        <v>134</v>
      </c>
      <c r="H23" s="14">
        <f>F23/D23*100</f>
        <v>90</v>
      </c>
      <c r="I23" s="15">
        <f>G23/E23*100+0.1</f>
        <v>90.03288590604026</v>
      </c>
      <c r="J23" s="16">
        <v>10</v>
      </c>
      <c r="K23" s="33">
        <f t="shared" si="4"/>
        <v>10</v>
      </c>
      <c r="L23" s="33">
        <f t="shared" si="4"/>
        <v>9.967114093959736</v>
      </c>
      <c r="M23" s="178"/>
    </row>
    <row r="24" spans="2:13" ht="18.75" customHeight="1">
      <c r="B24" s="160"/>
      <c r="C24" s="108" t="s">
        <v>50</v>
      </c>
      <c r="D24" s="109">
        <f>15</f>
        <v>15</v>
      </c>
      <c r="E24" s="103">
        <f>D24</f>
        <v>15</v>
      </c>
      <c r="F24" s="104">
        <f>13+1</f>
        <v>14</v>
      </c>
      <c r="G24" s="104">
        <f>F24</f>
        <v>14</v>
      </c>
      <c r="H24" s="105">
        <f aca="true" t="shared" si="5" ref="H24:I35">F24/D24*100</f>
        <v>93.33333333333333</v>
      </c>
      <c r="I24" s="106">
        <f t="shared" si="5"/>
        <v>93.33333333333333</v>
      </c>
      <c r="J24" s="107">
        <v>10</v>
      </c>
      <c r="K24" s="33">
        <f t="shared" si="4"/>
        <v>6.666666666666671</v>
      </c>
      <c r="L24" s="33">
        <f t="shared" si="4"/>
        <v>6.666666666666671</v>
      </c>
      <c r="M24" s="178"/>
    </row>
    <row r="25" spans="2:13" ht="15">
      <c r="B25" s="161">
        <v>19</v>
      </c>
      <c r="C25" s="16" t="s">
        <v>20</v>
      </c>
      <c r="D25" s="25">
        <v>53</v>
      </c>
      <c r="E25" s="24">
        <f>D25</f>
        <v>53</v>
      </c>
      <c r="F25" s="100">
        <f>42+6</f>
        <v>48</v>
      </c>
      <c r="G25" s="100">
        <f>F25</f>
        <v>48</v>
      </c>
      <c r="H25" s="14">
        <f t="shared" si="5"/>
        <v>90.56603773584906</v>
      </c>
      <c r="I25" s="15">
        <f t="shared" si="5"/>
        <v>90.56603773584906</v>
      </c>
      <c r="J25" s="7">
        <v>10</v>
      </c>
      <c r="K25" s="33">
        <f t="shared" si="4"/>
        <v>9.433962264150935</v>
      </c>
      <c r="L25" s="33">
        <f t="shared" si="4"/>
        <v>9.433962264150935</v>
      </c>
      <c r="M25" s="178"/>
    </row>
    <row r="26" spans="2:13" ht="15">
      <c r="B26" s="162"/>
      <c r="C26" s="101" t="s">
        <v>37</v>
      </c>
      <c r="D26" s="102">
        <v>27</v>
      </c>
      <c r="E26" s="103">
        <v>27</v>
      </c>
      <c r="F26" s="104">
        <f>20+5</f>
        <v>25</v>
      </c>
      <c r="G26" s="104">
        <f>F26</f>
        <v>25</v>
      </c>
      <c r="H26" s="105">
        <f>F26/D26*100</f>
        <v>92.5925925925926</v>
      </c>
      <c r="I26" s="106">
        <f>G26/E26*100</f>
        <v>92.5925925925926</v>
      </c>
      <c r="J26" s="107">
        <v>10</v>
      </c>
      <c r="K26" s="33">
        <f>100-H26</f>
        <v>7.407407407407405</v>
      </c>
      <c r="L26" s="33">
        <f>100-I26</f>
        <v>7.407407407407405</v>
      </c>
      <c r="M26" s="178"/>
    </row>
    <row r="27" spans="2:14" ht="15">
      <c r="B27" s="16">
        <v>20</v>
      </c>
      <c r="C27" s="16" t="s">
        <v>21</v>
      </c>
      <c r="D27" s="25">
        <f>79</f>
        <v>79</v>
      </c>
      <c r="E27" s="24">
        <f t="shared" si="3"/>
        <v>79</v>
      </c>
      <c r="F27" s="100">
        <f>64+8</f>
        <v>72</v>
      </c>
      <c r="G27" s="100">
        <f>F27</f>
        <v>72</v>
      </c>
      <c r="H27" s="14">
        <f t="shared" si="5"/>
        <v>91.13924050632912</v>
      </c>
      <c r="I27" s="15">
        <f t="shared" si="5"/>
        <v>91.13924050632912</v>
      </c>
      <c r="J27" s="7">
        <v>10</v>
      </c>
      <c r="K27" s="33">
        <f t="shared" si="4"/>
        <v>8.860759493670884</v>
      </c>
      <c r="L27" s="33">
        <f t="shared" si="4"/>
        <v>8.860759493670884</v>
      </c>
      <c r="M27" s="178"/>
      <c r="N27" s="171">
        <v>-5</v>
      </c>
    </row>
    <row r="28" spans="2:13" ht="15">
      <c r="B28" s="163">
        <v>21</v>
      </c>
      <c r="C28" s="16" t="s">
        <v>22</v>
      </c>
      <c r="D28" s="25">
        <v>126</v>
      </c>
      <c r="E28" s="24">
        <f>D28-9</f>
        <v>117</v>
      </c>
      <c r="F28" s="99">
        <v>117</v>
      </c>
      <c r="G28" s="99">
        <v>115</v>
      </c>
      <c r="H28" s="14">
        <f t="shared" si="5"/>
        <v>92.85714285714286</v>
      </c>
      <c r="I28" s="15">
        <f t="shared" si="5"/>
        <v>98.29059829059828</v>
      </c>
      <c r="J28" s="7">
        <v>10</v>
      </c>
      <c r="K28" s="15">
        <f t="shared" si="4"/>
        <v>7.142857142857139</v>
      </c>
      <c r="L28" s="15">
        <f>100-I28</f>
        <v>1.7094017094017175</v>
      </c>
      <c r="M28" s="177"/>
    </row>
    <row r="29" spans="2:13" ht="15">
      <c r="B29" s="164"/>
      <c r="C29" s="110" t="s">
        <v>37</v>
      </c>
      <c r="D29" s="102">
        <v>27</v>
      </c>
      <c r="E29" s="103">
        <v>27</v>
      </c>
      <c r="F29" s="102">
        <v>25</v>
      </c>
      <c r="G29" s="102">
        <v>25</v>
      </c>
      <c r="H29" s="105">
        <f t="shared" si="5"/>
        <v>92.5925925925926</v>
      </c>
      <c r="I29" s="106">
        <f t="shared" si="5"/>
        <v>92.5925925925926</v>
      </c>
      <c r="J29" s="107">
        <v>10</v>
      </c>
      <c r="K29" s="15">
        <f t="shared" si="4"/>
        <v>7.407407407407405</v>
      </c>
      <c r="L29" s="15">
        <f>100-I29</f>
        <v>7.407407407407405</v>
      </c>
      <c r="M29" s="177"/>
    </row>
    <row r="30" spans="2:14" ht="15">
      <c r="B30" s="163">
        <v>22</v>
      </c>
      <c r="C30" s="16" t="s">
        <v>23</v>
      </c>
      <c r="D30" s="25">
        <v>61</v>
      </c>
      <c r="E30" s="24">
        <f>D30</f>
        <v>61</v>
      </c>
      <c r="F30" s="100">
        <f>51+4</f>
        <v>55</v>
      </c>
      <c r="G30" s="100">
        <f>F30</f>
        <v>55</v>
      </c>
      <c r="H30" s="14">
        <f>F30/D30*100</f>
        <v>90.1639344262295</v>
      </c>
      <c r="I30" s="15">
        <f t="shared" si="5"/>
        <v>90.1639344262295</v>
      </c>
      <c r="J30" s="7">
        <v>10</v>
      </c>
      <c r="K30" s="33">
        <f t="shared" si="4"/>
        <v>9.836065573770497</v>
      </c>
      <c r="L30" s="33">
        <f>100-I30</f>
        <v>9.836065573770497</v>
      </c>
      <c r="M30" s="178"/>
      <c r="N30" s="171">
        <v>2</v>
      </c>
    </row>
    <row r="31" spans="2:14" ht="15">
      <c r="B31" s="164"/>
      <c r="C31" s="110" t="s">
        <v>37</v>
      </c>
      <c r="D31" s="102">
        <f>18</f>
        <v>18</v>
      </c>
      <c r="E31" s="103">
        <f>D31</f>
        <v>18</v>
      </c>
      <c r="F31" s="104">
        <f>15+3</f>
        <v>18</v>
      </c>
      <c r="G31" s="104">
        <f>F31</f>
        <v>18</v>
      </c>
      <c r="H31" s="105">
        <f>F31/D31*100</f>
        <v>100</v>
      </c>
      <c r="I31" s="106">
        <f t="shared" si="5"/>
        <v>100</v>
      </c>
      <c r="J31" s="107">
        <v>10</v>
      </c>
      <c r="K31" s="33">
        <f t="shared" si="4"/>
        <v>0</v>
      </c>
      <c r="L31" s="33">
        <f>100-I31</f>
        <v>0</v>
      </c>
      <c r="M31" s="178"/>
      <c r="N31" s="171">
        <v>-2</v>
      </c>
    </row>
    <row r="32" spans="2:14" ht="15">
      <c r="B32" s="165">
        <v>23</v>
      </c>
      <c r="C32" s="16" t="s">
        <v>24</v>
      </c>
      <c r="D32" s="25">
        <f>85</f>
        <v>85</v>
      </c>
      <c r="E32" s="24">
        <f>D32</f>
        <v>85</v>
      </c>
      <c r="F32" s="100">
        <f>67+10</f>
        <v>77</v>
      </c>
      <c r="G32" s="100">
        <f>F32</f>
        <v>77</v>
      </c>
      <c r="H32" s="14">
        <f t="shared" si="5"/>
        <v>90.58823529411765</v>
      </c>
      <c r="I32" s="15">
        <f t="shared" si="5"/>
        <v>90.58823529411765</v>
      </c>
      <c r="J32" s="7">
        <v>10</v>
      </c>
      <c r="K32" s="33">
        <f t="shared" si="4"/>
        <v>9.411764705882348</v>
      </c>
      <c r="L32" s="33">
        <f t="shared" si="4"/>
        <v>9.411764705882348</v>
      </c>
      <c r="M32" s="178"/>
      <c r="N32" s="171">
        <v>3</v>
      </c>
    </row>
    <row r="33" spans="2:14" ht="15">
      <c r="B33" s="166"/>
      <c r="C33" s="101" t="s">
        <v>37</v>
      </c>
      <c r="D33" s="102">
        <f>15</f>
        <v>15</v>
      </c>
      <c r="E33" s="103">
        <f>D33</f>
        <v>15</v>
      </c>
      <c r="F33" s="104">
        <f>14+1</f>
        <v>15</v>
      </c>
      <c r="G33" s="104">
        <f>F33</f>
        <v>15</v>
      </c>
      <c r="H33" s="105">
        <f t="shared" si="5"/>
        <v>100</v>
      </c>
      <c r="I33" s="106">
        <f t="shared" si="5"/>
        <v>100</v>
      </c>
      <c r="J33" s="107">
        <v>10</v>
      </c>
      <c r="K33" s="15">
        <f t="shared" si="4"/>
        <v>0</v>
      </c>
      <c r="L33" s="15">
        <f t="shared" si="4"/>
        <v>0</v>
      </c>
      <c r="M33" s="177"/>
      <c r="N33" s="171">
        <v>-3</v>
      </c>
    </row>
    <row r="34" spans="2:14" s="34" customFormat="1" ht="15">
      <c r="B34" s="28">
        <v>24</v>
      </c>
      <c r="C34" s="29" t="s">
        <v>51</v>
      </c>
      <c r="D34" s="30">
        <v>18</v>
      </c>
      <c r="E34" s="31">
        <f t="shared" si="3"/>
        <v>18</v>
      </c>
      <c r="F34" s="100">
        <f>14+1</f>
        <v>15</v>
      </c>
      <c r="G34" s="100">
        <f>F34</f>
        <v>15</v>
      </c>
      <c r="H34" s="32">
        <f>F34/D34*100</f>
        <v>83.33333333333334</v>
      </c>
      <c r="I34" s="33">
        <f>G34/E34*100</f>
        <v>83.33333333333334</v>
      </c>
      <c r="J34" s="16">
        <v>20</v>
      </c>
      <c r="K34" s="33">
        <f>100-H34</f>
        <v>16.666666666666657</v>
      </c>
      <c r="L34" s="33">
        <f>100-I34</f>
        <v>16.666666666666657</v>
      </c>
      <c r="M34" s="178"/>
      <c r="N34" s="172"/>
    </row>
    <row r="35" spans="2:14" ht="15">
      <c r="B35" s="28">
        <v>25</v>
      </c>
      <c r="C35" s="16" t="s">
        <v>25</v>
      </c>
      <c r="D35" s="25">
        <v>111</v>
      </c>
      <c r="E35" s="24">
        <v>109</v>
      </c>
      <c r="F35" s="99">
        <v>101</v>
      </c>
      <c r="G35" s="99">
        <v>100</v>
      </c>
      <c r="H35" s="14">
        <f t="shared" si="5"/>
        <v>90.990990990991</v>
      </c>
      <c r="I35" s="15">
        <f t="shared" si="5"/>
        <v>91.74311926605505</v>
      </c>
      <c r="J35" s="16">
        <v>10</v>
      </c>
      <c r="K35" s="15">
        <f>100-I35</f>
        <v>8.256880733944953</v>
      </c>
      <c r="L35" s="15">
        <f>100-I35</f>
        <v>8.256880733944953</v>
      </c>
      <c r="M35" s="177"/>
      <c r="N35" s="173"/>
    </row>
    <row r="36" spans="2:14" ht="30.75" customHeight="1">
      <c r="B36" s="35"/>
      <c r="C36" s="36" t="s">
        <v>26</v>
      </c>
      <c r="D36" s="37">
        <f>SUM(D5:D35)</f>
        <v>1454</v>
      </c>
      <c r="E36" s="37">
        <f>SUM(E5:E35)</f>
        <v>1440</v>
      </c>
      <c r="F36" s="37">
        <f>SUM(F5:F35)</f>
        <v>1337</v>
      </c>
      <c r="G36" s="37">
        <f>SUM(G5:G35)</f>
        <v>1328</v>
      </c>
      <c r="H36" s="38">
        <f>F36/D36*100</f>
        <v>91.95323246217332</v>
      </c>
      <c r="I36" s="39">
        <f>G36/E36*100</f>
        <v>92.22222222222223</v>
      </c>
      <c r="J36" s="35">
        <v>10</v>
      </c>
      <c r="K36" s="40">
        <f>100-I36</f>
        <v>7.7777777777777715</v>
      </c>
      <c r="L36" s="40">
        <f>100-I36</f>
        <v>7.7777777777777715</v>
      </c>
      <c r="M36" s="179"/>
      <c r="N36" s="171">
        <f>SUM(N5:N35)</f>
        <v>0</v>
      </c>
    </row>
    <row r="37" spans="1:13" ht="20.25" customHeight="1">
      <c r="A37" s="111"/>
      <c r="B37" s="112"/>
      <c r="C37" s="113"/>
      <c r="D37" s="114"/>
      <c r="E37" s="114"/>
      <c r="F37" s="114"/>
      <c r="G37" s="114"/>
      <c r="H37" s="115"/>
      <c r="I37" s="116"/>
      <c r="J37" s="117"/>
      <c r="K37" s="118"/>
      <c r="L37" s="118"/>
      <c r="M37" s="178"/>
    </row>
    <row r="38" spans="2:10" ht="15">
      <c r="B38" s="1" t="s">
        <v>92</v>
      </c>
      <c r="J38" s="1" t="s">
        <v>29</v>
      </c>
    </row>
    <row r="39" spans="2:10" ht="15">
      <c r="B39" s="1" t="s">
        <v>30</v>
      </c>
      <c r="J39" s="1" t="s">
        <v>31</v>
      </c>
    </row>
    <row r="40" spans="3:5" ht="15">
      <c r="C40" s="41" t="s">
        <v>93</v>
      </c>
      <c r="D40" s="26">
        <f>D12+D26+D29+D31+D33</f>
        <v>105</v>
      </c>
      <c r="E40" s="26">
        <f>E12+E26+E29+E31+E33</f>
        <v>105</v>
      </c>
    </row>
  </sheetData>
  <sheetProtection/>
  <mergeCells count="14">
    <mergeCell ref="B11:B12"/>
    <mergeCell ref="B23:B24"/>
    <mergeCell ref="B25:B26"/>
    <mergeCell ref="B28:B29"/>
    <mergeCell ref="B30:B31"/>
    <mergeCell ref="B32:B33"/>
    <mergeCell ref="B2:L2"/>
    <mergeCell ref="B3:B4"/>
    <mergeCell ref="C3:C4"/>
    <mergeCell ref="D3:E3"/>
    <mergeCell ref="F3:G3"/>
    <mergeCell ref="H3:I3"/>
    <mergeCell ref="J3:J4"/>
    <mergeCell ref="K3:L3"/>
  </mergeCells>
  <printOptions/>
  <pageMargins left="0.1968503937007874" right="0.1968503937007874" top="0.1968503937007874" bottom="0.1968503937007874" header="0.11811023622047245" footer="0.11811023622047245"/>
  <pageSetup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R11"/>
  <sheetViews>
    <sheetView view="pageBreakPreview" zoomScale="60" zoomScalePageLayoutView="0" workbookViewId="0" topLeftCell="A4">
      <selection activeCell="D6" sqref="D6:K8"/>
    </sheetView>
  </sheetViews>
  <sheetFormatPr defaultColWidth="9.00390625" defaultRowHeight="12.75"/>
  <cols>
    <col min="1" max="1" width="2.625" style="1" customWidth="1"/>
    <col min="2" max="2" width="5.125" style="1" customWidth="1"/>
    <col min="3" max="3" width="19.125" style="1" customWidth="1"/>
    <col min="4" max="5" width="13.625" style="1" customWidth="1"/>
    <col min="6" max="6" width="13.50390625" style="1" customWidth="1"/>
    <col min="7" max="7" width="11.375" style="1" customWidth="1"/>
    <col min="8" max="9" width="14.00390625" style="1" customWidth="1"/>
    <col min="10" max="10" width="12.625" style="1" customWidth="1"/>
    <col min="11" max="11" width="11.50390625" style="1" customWidth="1"/>
    <col min="12" max="13" width="14.875" style="1" customWidth="1"/>
    <col min="14" max="14" width="13.25390625" style="1" customWidth="1"/>
    <col min="15" max="15" width="11.50390625" style="1" customWidth="1"/>
    <col min="16" max="16" width="16.00390625" style="1" customWidth="1"/>
    <col min="17" max="17" width="8.875" style="1" customWidth="1"/>
    <col min="18" max="18" width="1.12109375" style="1" customWidth="1"/>
    <col min="19" max="16384" width="8.875" style="1" customWidth="1"/>
  </cols>
  <sheetData>
    <row r="1" ht="21.75" customHeight="1">
      <c r="P1" s="1" t="s">
        <v>38</v>
      </c>
    </row>
    <row r="2" spans="2:18" ht="45" customHeight="1">
      <c r="B2" s="152" t="s">
        <v>94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3"/>
      <c r="R2" s="3"/>
    </row>
    <row r="3" spans="2:18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</row>
    <row r="4" spans="2:17" ht="36.75" customHeight="1">
      <c r="B4" s="123" t="s">
        <v>0</v>
      </c>
      <c r="C4" s="124" t="s">
        <v>1</v>
      </c>
      <c r="D4" s="135" t="s">
        <v>42</v>
      </c>
      <c r="E4" s="135"/>
      <c r="F4" s="135"/>
      <c r="G4" s="135"/>
      <c r="H4" s="135" t="s">
        <v>43</v>
      </c>
      <c r="I4" s="135"/>
      <c r="J4" s="135"/>
      <c r="K4" s="135"/>
      <c r="L4" s="135" t="s">
        <v>2</v>
      </c>
      <c r="M4" s="135"/>
      <c r="N4" s="135"/>
      <c r="O4" s="135"/>
      <c r="P4" s="169" t="s">
        <v>33</v>
      </c>
      <c r="Q4" s="167" t="s">
        <v>34</v>
      </c>
    </row>
    <row r="5" spans="2:17" ht="321" customHeight="1">
      <c r="B5" s="123"/>
      <c r="C5" s="124"/>
      <c r="D5" s="9" t="s">
        <v>52</v>
      </c>
      <c r="E5" s="9" t="s">
        <v>79</v>
      </c>
      <c r="F5" s="10" t="s">
        <v>44</v>
      </c>
      <c r="G5" s="10" t="s">
        <v>45</v>
      </c>
      <c r="H5" s="9" t="str">
        <f>D5</f>
        <v>Реализация дополнительных общеобразовательных программ, чел/час</v>
      </c>
      <c r="I5" s="9" t="s">
        <v>79</v>
      </c>
      <c r="J5" s="10" t="str">
        <f>F5</f>
        <v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(работа, ед)</v>
      </c>
      <c r="K5" s="10" t="str">
        <f>G5</f>
        <v>Проведение тестирования выполнения нормативов испытаний (тестов) комплекса ГТО (работа), чел</v>
      </c>
      <c r="L5" s="9" t="s">
        <v>41</v>
      </c>
      <c r="M5" s="9" t="s">
        <v>79</v>
      </c>
      <c r="N5" s="10" t="s">
        <v>44</v>
      </c>
      <c r="O5" s="10" t="str">
        <f>K5</f>
        <v>Проведение тестирования выполнения нормативов испытаний (тестов) комплекса ГТО (работа), чел</v>
      </c>
      <c r="P5" s="170"/>
      <c r="Q5" s="168"/>
    </row>
    <row r="6" spans="2:17" ht="30" customHeight="1">
      <c r="B6" s="7">
        <v>1</v>
      </c>
      <c r="C6" s="7" t="s">
        <v>39</v>
      </c>
      <c r="D6" s="119">
        <v>177632</v>
      </c>
      <c r="E6" s="119"/>
      <c r="F6" s="119"/>
      <c r="G6" s="120"/>
      <c r="H6" s="119">
        <v>168124</v>
      </c>
      <c r="I6" s="119"/>
      <c r="J6" s="119"/>
      <c r="K6" s="119"/>
      <c r="L6" s="11">
        <f>H6/D6*100</f>
        <v>94.64736083588544</v>
      </c>
      <c r="M6" s="11"/>
      <c r="N6" s="11"/>
      <c r="O6" s="6"/>
      <c r="P6" s="7">
        <v>10</v>
      </c>
      <c r="Q6" s="6">
        <v>0</v>
      </c>
    </row>
    <row r="7" spans="2:17" ht="25.5" customHeight="1">
      <c r="B7" s="7">
        <v>2</v>
      </c>
      <c r="C7" s="7" t="s">
        <v>40</v>
      </c>
      <c r="D7" s="119">
        <v>78588</v>
      </c>
      <c r="E7" s="119">
        <v>84226</v>
      </c>
      <c r="F7" s="119">
        <v>12</v>
      </c>
      <c r="G7" s="120">
        <v>710</v>
      </c>
      <c r="H7" s="119">
        <v>78560</v>
      </c>
      <c r="I7" s="119">
        <v>75776</v>
      </c>
      <c r="J7" s="119">
        <v>12</v>
      </c>
      <c r="K7" s="119">
        <v>710</v>
      </c>
      <c r="L7" s="11">
        <f>H7/D7*100</f>
        <v>99.96437115081183</v>
      </c>
      <c r="M7" s="11">
        <f>I7/E7*100</f>
        <v>89.96746847766724</v>
      </c>
      <c r="N7" s="11">
        <f>J7/F7*100</f>
        <v>100</v>
      </c>
      <c r="O7" s="6">
        <f>K7/G7*100</f>
        <v>100</v>
      </c>
      <c r="P7" s="7">
        <v>10</v>
      </c>
      <c r="Q7" s="6">
        <v>0</v>
      </c>
    </row>
    <row r="8" spans="2:17" ht="27" customHeight="1">
      <c r="B8" s="7"/>
      <c r="C8" s="8" t="s">
        <v>26</v>
      </c>
      <c r="D8" s="121">
        <f aca="true" t="shared" si="0" ref="D8:K8">SUM(D6:D7)</f>
        <v>256220</v>
      </c>
      <c r="E8" s="121">
        <f t="shared" si="0"/>
        <v>84226</v>
      </c>
      <c r="F8" s="121">
        <f t="shared" si="0"/>
        <v>12</v>
      </c>
      <c r="G8" s="121">
        <f t="shared" si="0"/>
        <v>710</v>
      </c>
      <c r="H8" s="121">
        <f t="shared" si="0"/>
        <v>246684</v>
      </c>
      <c r="I8" s="121">
        <f t="shared" si="0"/>
        <v>75776</v>
      </c>
      <c r="J8" s="121">
        <f t="shared" si="0"/>
        <v>12</v>
      </c>
      <c r="K8" s="121">
        <f t="shared" si="0"/>
        <v>710</v>
      </c>
      <c r="L8" s="12">
        <f>H8/D8*100</f>
        <v>96.27819842323004</v>
      </c>
      <c r="M8" s="12">
        <f>I8/E8*100</f>
        <v>89.96746847766724</v>
      </c>
      <c r="N8" s="12">
        <f>N7</f>
        <v>100</v>
      </c>
      <c r="O8" s="13">
        <f>K8/G8*100</f>
        <v>100</v>
      </c>
      <c r="P8" s="7">
        <v>10</v>
      </c>
      <c r="Q8" s="6">
        <v>0</v>
      </c>
    </row>
    <row r="9" spans="2:17" ht="27" customHeight="1">
      <c r="B9" s="42"/>
      <c r="C9" s="43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6"/>
      <c r="P9" s="42"/>
      <c r="Q9" s="47"/>
    </row>
    <row r="10" ht="15">
      <c r="B10" s="1" t="s">
        <v>27</v>
      </c>
    </row>
    <row r="11" spans="2:11" ht="15">
      <c r="B11" s="1" t="s">
        <v>28</v>
      </c>
      <c r="K11" s="1" t="s">
        <v>29</v>
      </c>
    </row>
  </sheetData>
  <sheetProtection/>
  <mergeCells count="8">
    <mergeCell ref="Q4:Q5"/>
    <mergeCell ref="B2:P2"/>
    <mergeCell ref="B4:B5"/>
    <mergeCell ref="C4:C5"/>
    <mergeCell ref="D4:G4"/>
    <mergeCell ref="H4:K4"/>
    <mergeCell ref="L4:O4"/>
    <mergeCell ref="P4:P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2022-04-01T11:38:09Z</cp:lastPrinted>
  <dcterms:created xsi:type="dcterms:W3CDTF">2016-09-29T14:49:05Z</dcterms:created>
  <dcterms:modified xsi:type="dcterms:W3CDTF">2022-04-01T11:38:39Z</dcterms:modified>
  <cp:category/>
  <cp:version/>
  <cp:contentType/>
  <cp:contentStatus/>
</cp:coreProperties>
</file>